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C3F1AD03-7CE4-475F-B217-40006C1BB7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10" i="2" l="1"/>
  <c r="I10" i="2"/>
  <c r="H10" i="2"/>
  <c r="G10" i="2"/>
  <c r="J9" i="2"/>
  <c r="I9" i="2"/>
  <c r="H9" i="2"/>
  <c r="G9" i="2"/>
  <c r="F10" i="2"/>
  <c r="F9" i="2"/>
  <c r="F7" i="2"/>
  <c r="J26" i="2"/>
  <c r="I26" i="2"/>
  <c r="H26" i="2"/>
  <c r="G26" i="2"/>
  <c r="J25" i="2"/>
  <c r="I25" i="2"/>
  <c r="H25" i="2"/>
  <c r="G25" i="2"/>
  <c r="F26" i="2"/>
  <c r="F25" i="2"/>
  <c r="F20" i="2"/>
  <c r="J20" i="2"/>
  <c r="I20" i="2"/>
  <c r="H20" i="2"/>
  <c r="G20" i="2"/>
  <c r="F19" i="2"/>
  <c r="F23" i="2"/>
  <c r="J17" i="2"/>
  <c r="I17" i="2"/>
  <c r="H17" i="2"/>
  <c r="G17" i="2"/>
  <c r="J16" i="2"/>
  <c r="I16" i="2"/>
  <c r="H16" i="2"/>
  <c r="G16" i="2"/>
  <c r="F17" i="2"/>
  <c r="F12" i="2"/>
  <c r="F14" i="2"/>
  <c r="F27" i="2" l="1"/>
  <c r="F4" i="2"/>
  <c r="J46" i="1"/>
  <c r="I46" i="1"/>
  <c r="H46" i="1"/>
  <c r="G46" i="1"/>
  <c r="J45" i="1"/>
  <c r="I45" i="1"/>
  <c r="H45" i="1"/>
  <c r="G45" i="1"/>
  <c r="J42" i="1"/>
  <c r="I42" i="1"/>
  <c r="H42" i="1"/>
  <c r="G42" i="1"/>
  <c r="F42" i="1"/>
  <c r="F46" i="1"/>
  <c r="F40" i="1"/>
  <c r="J14" i="1"/>
  <c r="I14" i="1"/>
  <c r="H14" i="1"/>
  <c r="G14" i="1"/>
  <c r="J37" i="1"/>
  <c r="I37" i="1"/>
  <c r="H37" i="1"/>
  <c r="G37" i="1"/>
  <c r="F37" i="1"/>
  <c r="F36" i="1"/>
  <c r="I30" i="1"/>
  <c r="H30" i="1"/>
  <c r="G30" i="1"/>
  <c r="J33" i="1"/>
  <c r="I33" i="1"/>
  <c r="H33" i="1"/>
  <c r="G33" i="1"/>
  <c r="J32" i="1"/>
  <c r="I32" i="1"/>
  <c r="H32" i="1"/>
  <c r="G32" i="1"/>
  <c r="F33" i="1"/>
  <c r="F30" i="1"/>
  <c r="F29" i="1"/>
  <c r="J27" i="1"/>
  <c r="I27" i="1"/>
  <c r="H27" i="1"/>
  <c r="G27" i="1"/>
  <c r="F27" i="1"/>
  <c r="J23" i="1"/>
  <c r="I23" i="1"/>
  <c r="H23" i="1"/>
  <c r="G23" i="1"/>
  <c r="J22" i="1"/>
  <c r="I22" i="1"/>
  <c r="H22" i="1"/>
  <c r="G22" i="1"/>
  <c r="F22" i="1"/>
  <c r="F17" i="1"/>
  <c r="F14" i="1"/>
  <c r="F13" i="1"/>
  <c r="J10" i="1"/>
  <c r="I10" i="1"/>
  <c r="H10" i="1"/>
  <c r="G10" i="1"/>
  <c r="J9" i="1"/>
  <c r="I9" i="1"/>
  <c r="H9" i="1"/>
  <c r="G9" i="1"/>
  <c r="I7" i="1"/>
  <c r="H7" i="1"/>
  <c r="G7" i="1"/>
  <c r="J4" i="1"/>
  <c r="I4" i="1"/>
  <c r="H4" i="1"/>
  <c r="G4" i="1"/>
  <c r="F9" i="1"/>
  <c r="F4" i="1"/>
  <c r="F7" i="1"/>
  <c r="G27" i="2"/>
  <c r="H27" i="2"/>
  <c r="I27" i="2"/>
  <c r="J27" i="2"/>
  <c r="F47" i="1" l="1"/>
  <c r="F34" i="1"/>
  <c r="F24" i="1"/>
  <c r="F11" i="2"/>
  <c r="F11" i="1"/>
  <c r="F18" i="2"/>
  <c r="G47" i="1"/>
  <c r="G24" i="1"/>
  <c r="G11" i="2" l="1"/>
  <c r="G11" i="1"/>
  <c r="I24" i="1" l="1"/>
  <c r="H24" i="1"/>
  <c r="H18" i="2" l="1"/>
  <c r="G18" i="2"/>
  <c r="H11" i="1"/>
  <c r="G38" i="1" l="1"/>
  <c r="G34" i="1"/>
  <c r="J18" i="2"/>
  <c r="I18" i="2"/>
  <c r="J47" i="1" l="1"/>
  <c r="J38" i="1"/>
  <c r="I38" i="1"/>
  <c r="H38" i="1"/>
  <c r="I34" i="1" l="1"/>
  <c r="J34" i="1"/>
  <c r="J11" i="2"/>
  <c r="I11" i="2"/>
  <c r="H11" i="2"/>
  <c r="H47" i="1"/>
  <c r="I47" i="1"/>
  <c r="H34" i="1"/>
  <c r="G15" i="1" l="1"/>
  <c r="J11" i="1"/>
  <c r="I11" i="1" l="1"/>
  <c r="J24" i="1"/>
  <c r="J15" i="1"/>
  <c r="I15" i="1"/>
  <c r="H15" i="1"/>
</calcChain>
</file>

<file path=xl/sharedStrings.xml><?xml version="1.0" encoding="utf-8"?>
<sst xmlns="http://schemas.openxmlformats.org/spreadsheetml/2006/main" count="208" uniqueCount="67">
  <si>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</si>
  <si>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</si>
  <si>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</si>
  <si>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</si>
  <si>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</si>
  <si>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</si>
  <si>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</si>
  <si>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</si>
  <si>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</si>
  <si>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</si>
  <si>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</si>
  <si>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</si>
  <si>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</si>
  <si>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</si>
  <si>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</si>
  <si>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</si>
  <si>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</si>
  <si>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</si>
  <si>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</si>
  <si>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</si>
  <si>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Полдник</t>
  </si>
  <si>
    <t>напиток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</si>
  <si>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</si>
  <si>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</si>
  <si>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</si>
  <si>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</si>
  <si>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</si>
  <si>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</si>
  <si>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добавки</t>
  </si>
  <si>
    <t xml:space="preserve"> </t>
  </si>
  <si>
    <t>Зав.производством __________________________________</t>
  </si>
  <si>
    <t>гарнир</t>
  </si>
  <si>
    <t>добавка</t>
  </si>
  <si>
    <t>день 9</t>
  </si>
  <si>
    <t>Суп молочный с пшеном</t>
  </si>
  <si>
    <t>200</t>
  </si>
  <si>
    <t>Яйцо вареное</t>
  </si>
  <si>
    <t>Масло сливочное</t>
  </si>
  <si>
    <t>Сыр</t>
  </si>
  <si>
    <t>Кофейный напиток</t>
  </si>
  <si>
    <t>гп</t>
  </si>
  <si>
    <t>Хдеб ржаной</t>
  </si>
  <si>
    <t>Хлеб пшеничный</t>
  </si>
  <si>
    <t>Чай с сахаром</t>
  </si>
  <si>
    <t>Яблоко</t>
  </si>
  <si>
    <t>Лепешка с сыром</t>
  </si>
  <si>
    <t>Икра морковная</t>
  </si>
  <si>
    <t>60</t>
  </si>
  <si>
    <t>Рассольник ленинградский со сметаной</t>
  </si>
  <si>
    <t>195/5</t>
  </si>
  <si>
    <t>90</t>
  </si>
  <si>
    <t>Соус сметанный</t>
  </si>
  <si>
    <t>20</t>
  </si>
  <si>
    <t>Макаронные изделия отварные с маслом</t>
  </si>
  <si>
    <t>150</t>
  </si>
  <si>
    <t>Напиток из шиповника</t>
  </si>
  <si>
    <t>250</t>
  </si>
  <si>
    <t>100</t>
  </si>
  <si>
    <t>245/5</t>
  </si>
  <si>
    <t>180</t>
  </si>
  <si>
    <t>25</t>
  </si>
  <si>
    <t>Компот из смеси сухофруктов</t>
  </si>
  <si>
    <t>Вафли</t>
  </si>
  <si>
    <t>40</t>
  </si>
  <si>
    <t>160</t>
  </si>
  <si>
    <t>Котлета мясная</t>
  </si>
  <si>
    <t>МБОУ БСШ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</si>
</sst>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4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Protection="1">
      <protection locked="0"/>
    </xf>
    <xf numFmtId="0" fontId="3" fillId="0" borderId="17" xfId="0" applyFont="1" applyBorder="1"/>
    <xf numFmtId="2" fontId="3" fillId="0" borderId="17" xfId="0" applyNumberFormat="1" applyFont="1" applyBorder="1"/>
    <xf numFmtId="2" fontId="3" fillId="0" borderId="18" xfId="0" applyNumberFormat="1" applyFont="1" applyBorder="1"/>
    <xf numFmtId="2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2" fontId="0" fillId="0" borderId="17" xfId="0" applyNumberFormat="1" applyBorder="1"/>
    <xf numFmtId="2" fontId="0" fillId="0" borderId="18" xfId="0" applyNumberFormat="1" applyBorder="1"/>
    <xf numFmtId="0" fontId="6" fillId="0" borderId="11" xfId="0" applyFont="1" applyBorder="1" applyAlignment="1">
      <alignment horizontal="center" vertical="center"/>
    </xf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0" xfId="0" applyBorder="1"/>
    <xf numFmtId="0" fontId="2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wrapText="1"/>
      <protection locked="0"/>
    </xf>
    <xf numFmtId="1" fontId="6" fillId="0" borderId="22" xfId="0" applyNumberFormat="1" applyFon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0" fontId="8" fillId="0" borderId="17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2" fontId="0" fillId="0" borderId="24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0" fontId="0" fillId="0" borderId="25" xfId="0" applyBorder="1"/>
    <xf numFmtId="0" fontId="0" fillId="0" borderId="14" xfId="0" applyBorder="1" applyProtection="1"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3" fillId="0" borderId="1" xfId="0" applyFont="1" applyBorder="1"/>
    <xf numFmtId="0" fontId="3" fillId="0" borderId="1" xfId="0" applyFont="1" applyBorder="1" applyProtection="1"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2" fontId="9" fillId="0" borderId="1" xfId="0" applyNumberFormat="1" applyFon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9"/>
  <sheetViews>
    <sheetView tabSelected="1" zoomScale="110" zoomScaleNormal="110" workbookViewId="0">
      <selection activeCell="R8" sqref="R8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21875" style="15" bestFit="1" customWidth="1"/>
    <col min="6" max="6" width="8.21875" style="15" bestFit="1" customWidth="1"/>
    <col min="7" max="7" width="7.6640625" customWidth="1"/>
    <col min="8" max="8" width="6.109375" bestFit="1" customWidth="1"/>
    <col min="9" max="9" width="6.5546875" customWidth="1"/>
    <col min="10" max="10" width="10.109375" bestFit="1" customWidth="1"/>
  </cols>
  <sheetData>
    <row r="1" spans="1:10" ht="28.8" customHeight="1" x14ac:dyDescent="0.3">
      <c r="A1" t="s">
        <v>0</v>
      </c>
      <c r="B1" s="103" t="s">
        <v>66</v>
      </c>
      <c r="C1" s="104"/>
      <c r="D1" s="105"/>
      <c r="E1" s="15" t="s">
        <v>23</v>
      </c>
      <c r="F1" s="14"/>
      <c r="H1" s="22" t="s">
        <v>33</v>
      </c>
      <c r="I1" s="109">
        <v>45183</v>
      </c>
      <c r="J1" s="109"/>
    </row>
    <row r="2" spans="1:10" ht="15" thickBot="1" x14ac:dyDescent="0.35">
      <c r="B2" s="1" t="s">
        <v>22</v>
      </c>
    </row>
    <row r="3" spans="1:10" s="20" customFormat="1" ht="29.4" thickBot="1" x14ac:dyDescent="0.35">
      <c r="A3" s="16" t="s">
        <v>1</v>
      </c>
      <c r="B3" s="17" t="s">
        <v>2</v>
      </c>
      <c r="C3" s="17" t="s">
        <v>18</v>
      </c>
      <c r="D3" s="17" t="s">
        <v>3</v>
      </c>
      <c r="E3" s="41" t="s">
        <v>19</v>
      </c>
      <c r="F3" s="41" t="s">
        <v>4</v>
      </c>
      <c r="G3" s="18" t="s">
        <v>5</v>
      </c>
      <c r="H3" s="17" t="s">
        <v>6</v>
      </c>
      <c r="I3" s="17" t="s">
        <v>7</v>
      </c>
      <c r="J3" s="19" t="s">
        <v>8</v>
      </c>
    </row>
    <row r="4" spans="1:10" ht="15.6" x14ac:dyDescent="0.3">
      <c r="A4" s="2" t="s">
        <v>9</v>
      </c>
      <c r="B4" s="3" t="s">
        <v>10</v>
      </c>
      <c r="C4" s="94">
        <v>47</v>
      </c>
      <c r="D4" s="95" t="s">
        <v>34</v>
      </c>
      <c r="E4" s="96" t="s">
        <v>56</v>
      </c>
      <c r="F4" s="97">
        <f>10.76*250/200</f>
        <v>13.45</v>
      </c>
      <c r="G4" s="88">
        <f>136*250/200</f>
        <v>170</v>
      </c>
      <c r="H4" s="88">
        <f>4.13*250/200</f>
        <v>5.1624999999999996</v>
      </c>
      <c r="I4" s="88">
        <f>4.49*250/200</f>
        <v>5.6124999999999998</v>
      </c>
      <c r="J4" s="89">
        <f>19.7*250/200</f>
        <v>24.625</v>
      </c>
    </row>
    <row r="5" spans="1:10" ht="15.6" x14ac:dyDescent="0.3">
      <c r="A5" s="6"/>
      <c r="B5" s="29" t="s">
        <v>28</v>
      </c>
      <c r="C5" s="52">
        <v>38</v>
      </c>
      <c r="D5" s="53" t="s">
        <v>36</v>
      </c>
      <c r="E5" s="43">
        <v>50</v>
      </c>
      <c r="F5" s="67">
        <v>9.24</v>
      </c>
      <c r="G5" s="8">
        <v>63</v>
      </c>
      <c r="H5" s="8">
        <v>5.08</v>
      </c>
      <c r="I5" s="8">
        <v>4.5999999999999996</v>
      </c>
      <c r="J5" s="9">
        <v>0.28000000000000003</v>
      </c>
    </row>
    <row r="6" spans="1:10" ht="15.6" x14ac:dyDescent="0.3">
      <c r="A6" s="6"/>
      <c r="B6" s="29" t="s">
        <v>28</v>
      </c>
      <c r="C6" s="48">
        <v>3</v>
      </c>
      <c r="D6" s="49" t="s">
        <v>37</v>
      </c>
      <c r="E6" s="43">
        <v>10</v>
      </c>
      <c r="F6" s="67">
        <v>9.82</v>
      </c>
      <c r="G6" s="8">
        <v>65</v>
      </c>
      <c r="H6" s="8">
        <v>0.08</v>
      </c>
      <c r="I6" s="8">
        <v>7.15</v>
      </c>
      <c r="J6" s="9">
        <v>0.13</v>
      </c>
    </row>
    <row r="7" spans="1:10" ht="15.6" x14ac:dyDescent="0.3">
      <c r="A7" s="6"/>
      <c r="B7" s="99" t="s">
        <v>28</v>
      </c>
      <c r="C7" s="48">
        <v>6</v>
      </c>
      <c r="D7" s="49" t="s">
        <v>38</v>
      </c>
      <c r="E7" s="43">
        <v>15</v>
      </c>
      <c r="F7" s="67">
        <f>8.47*15/10</f>
        <v>12.705000000000002</v>
      </c>
      <c r="G7" s="8">
        <f>35*15/10</f>
        <v>52.5</v>
      </c>
      <c r="H7" s="8">
        <f>2.63*15/10</f>
        <v>3.9449999999999994</v>
      </c>
      <c r="I7" s="8">
        <f>2.66*15/10</f>
        <v>3.9900000000000007</v>
      </c>
      <c r="J7" s="9">
        <v>0</v>
      </c>
    </row>
    <row r="8" spans="1:10" ht="15.6" x14ac:dyDescent="0.3">
      <c r="A8" s="6"/>
      <c r="B8" s="83" t="s">
        <v>11</v>
      </c>
      <c r="C8" s="75">
        <v>2</v>
      </c>
      <c r="D8" s="49" t="s">
        <v>39</v>
      </c>
      <c r="E8" s="43">
        <v>200</v>
      </c>
      <c r="F8" s="67">
        <v>11.52</v>
      </c>
      <c r="G8" s="8">
        <v>104</v>
      </c>
      <c r="H8" s="8">
        <v>3.8</v>
      </c>
      <c r="I8" s="8">
        <v>3.7</v>
      </c>
      <c r="J8" s="9">
        <v>15.18</v>
      </c>
    </row>
    <row r="9" spans="1:10" ht="15.6" x14ac:dyDescent="0.3">
      <c r="A9" s="6"/>
      <c r="B9" s="99" t="s">
        <v>16</v>
      </c>
      <c r="C9" s="48" t="s">
        <v>40</v>
      </c>
      <c r="D9" s="49" t="s">
        <v>41</v>
      </c>
      <c r="E9" s="43">
        <v>22</v>
      </c>
      <c r="F9" s="67">
        <f>43.64*0.022</f>
        <v>0.96007999999999993</v>
      </c>
      <c r="G9" s="8">
        <f>42*22/20</f>
        <v>46.2</v>
      </c>
      <c r="H9" s="8">
        <f>0.98*22/20</f>
        <v>1.0779999999999998</v>
      </c>
      <c r="I9" s="8">
        <f>0.2*22/20</f>
        <v>0.22000000000000003</v>
      </c>
      <c r="J9" s="9">
        <f>8.96*22/20</f>
        <v>9.8559999999999999</v>
      </c>
    </row>
    <row r="10" spans="1:10" ht="15.6" x14ac:dyDescent="0.3">
      <c r="A10" s="6"/>
      <c r="B10" s="100" t="s">
        <v>17</v>
      </c>
      <c r="C10" s="48" t="s">
        <v>40</v>
      </c>
      <c r="D10" s="49" t="s">
        <v>42</v>
      </c>
      <c r="E10" s="43">
        <v>23</v>
      </c>
      <c r="F10" s="67">
        <v>0.82</v>
      </c>
      <c r="G10" s="8">
        <f>47*23/20</f>
        <v>54.05</v>
      </c>
      <c r="H10" s="8">
        <f>1.52*23/20</f>
        <v>1.748</v>
      </c>
      <c r="I10" s="8">
        <f>0.16*23/20</f>
        <v>0.184</v>
      </c>
      <c r="J10" s="9">
        <f>9.84*23/20</f>
        <v>11.315999999999999</v>
      </c>
    </row>
    <row r="11" spans="1:10" ht="16.2" thickBot="1" x14ac:dyDescent="0.35">
      <c r="A11" s="60"/>
      <c r="B11" s="37"/>
      <c r="C11" s="62"/>
      <c r="D11" s="63"/>
      <c r="E11" s="64"/>
      <c r="F11" s="71">
        <f>SUM(F4:F10)</f>
        <v>58.515079999999998</v>
      </c>
      <c r="G11" s="65">
        <f>SUM(G4:G10)</f>
        <v>554.75</v>
      </c>
      <c r="H11" s="65">
        <f>SUM(H4:H10)</f>
        <v>20.8935</v>
      </c>
      <c r="I11" s="65">
        <f>SUM(I4:I10)</f>
        <v>25.456499999999998</v>
      </c>
      <c r="J11" s="87">
        <f>SUM(J4:J10)</f>
        <v>61.387</v>
      </c>
    </row>
    <row r="12" spans="1:10" ht="14.4" customHeight="1" x14ac:dyDescent="0.3">
      <c r="A12" s="2" t="s">
        <v>20</v>
      </c>
      <c r="B12" s="83" t="s">
        <v>11</v>
      </c>
      <c r="C12" s="50">
        <v>57</v>
      </c>
      <c r="D12" s="51" t="s">
        <v>43</v>
      </c>
      <c r="E12" s="44">
        <v>200</v>
      </c>
      <c r="F12" s="70">
        <v>1.29</v>
      </c>
      <c r="G12" s="4">
        <v>41</v>
      </c>
      <c r="H12" s="4">
        <v>0</v>
      </c>
      <c r="I12" s="4">
        <v>0</v>
      </c>
      <c r="J12" s="5">
        <v>10.01</v>
      </c>
    </row>
    <row r="13" spans="1:10" ht="14.4" customHeight="1" x14ac:dyDescent="0.3">
      <c r="A13" s="6"/>
      <c r="B13" s="29" t="s">
        <v>28</v>
      </c>
      <c r="C13" s="84" t="s">
        <v>40</v>
      </c>
      <c r="D13" s="85" t="s">
        <v>44</v>
      </c>
      <c r="E13" s="86">
        <v>134</v>
      </c>
      <c r="F13" s="76">
        <f>0.134*165</f>
        <v>22.110000000000003</v>
      </c>
      <c r="G13" s="12">
        <v>96</v>
      </c>
      <c r="H13" s="12">
        <v>1.5</v>
      </c>
      <c r="I13" s="12">
        <v>0.5</v>
      </c>
      <c r="J13" s="35">
        <v>21</v>
      </c>
    </row>
    <row r="14" spans="1:10" ht="15.6" x14ac:dyDescent="0.3">
      <c r="A14" s="6"/>
      <c r="B14" s="29" t="s">
        <v>28</v>
      </c>
      <c r="C14" s="84">
        <v>62</v>
      </c>
      <c r="D14" s="85" t="s">
        <v>45</v>
      </c>
      <c r="E14" s="86">
        <v>80</v>
      </c>
      <c r="F14" s="76">
        <f>13.08*80/50</f>
        <v>20.928000000000001</v>
      </c>
      <c r="G14" s="12">
        <f>171*80/50</f>
        <v>273.60000000000002</v>
      </c>
      <c r="H14" s="12">
        <f>5.02*80/50</f>
        <v>8.032</v>
      </c>
      <c r="I14" s="12">
        <f>5.41*80/50</f>
        <v>8.6560000000000006</v>
      </c>
      <c r="J14" s="35">
        <f>23*80/50</f>
        <v>36.799999999999997</v>
      </c>
    </row>
    <row r="15" spans="1:10" ht="16.2" thickBot="1" x14ac:dyDescent="0.35">
      <c r="A15" s="91"/>
      <c r="B15" s="92"/>
      <c r="C15" s="54"/>
      <c r="D15" s="55"/>
      <c r="E15" s="90"/>
      <c r="F15" s="73">
        <v>43.89</v>
      </c>
      <c r="G15" s="10">
        <f>SUM(G12:G14)</f>
        <v>410.6</v>
      </c>
      <c r="H15" s="10">
        <f>SUM(H12:H14)</f>
        <v>9.532</v>
      </c>
      <c r="I15" s="10">
        <f>SUM(I12:I14)</f>
        <v>9.1560000000000006</v>
      </c>
      <c r="J15" s="11">
        <f>SUM(J12:J14)</f>
        <v>67.81</v>
      </c>
    </row>
    <row r="16" spans="1:10" ht="15.6" x14ac:dyDescent="0.3">
      <c r="A16" s="2" t="s">
        <v>12</v>
      </c>
      <c r="B16" s="3" t="s">
        <v>13</v>
      </c>
      <c r="C16" s="50">
        <v>59</v>
      </c>
      <c r="D16" s="51" t="s">
        <v>46</v>
      </c>
      <c r="E16" s="42" t="s">
        <v>47</v>
      </c>
      <c r="F16" s="70">
        <v>7.68</v>
      </c>
      <c r="G16" s="4">
        <v>69</v>
      </c>
      <c r="H16" s="4">
        <v>1.71</v>
      </c>
      <c r="I16" s="4">
        <v>5.05</v>
      </c>
      <c r="J16" s="5">
        <v>5.12</v>
      </c>
    </row>
    <row r="17" spans="1:10" ht="43.2" x14ac:dyDescent="0.3">
      <c r="A17" s="6"/>
      <c r="B17" s="7" t="s">
        <v>14</v>
      </c>
      <c r="C17" s="52">
        <v>28</v>
      </c>
      <c r="D17" s="53" t="s">
        <v>48</v>
      </c>
      <c r="E17" s="45" t="s">
        <v>49</v>
      </c>
      <c r="F17" s="67">
        <f>6.97*195/196+1.47*5/4</f>
        <v>8.7719387755102041</v>
      </c>
      <c r="G17" s="8">
        <v>106.4</v>
      </c>
      <c r="H17" s="8">
        <v>1.75</v>
      </c>
      <c r="I17" s="8">
        <v>5.03</v>
      </c>
      <c r="J17" s="9">
        <v>15.7</v>
      </c>
    </row>
    <row r="18" spans="1:10" ht="15.6" x14ac:dyDescent="0.3">
      <c r="A18" s="6"/>
      <c r="B18" s="7" t="s">
        <v>15</v>
      </c>
      <c r="C18" s="52">
        <v>67</v>
      </c>
      <c r="D18" s="53" t="s">
        <v>65</v>
      </c>
      <c r="E18" s="45" t="s">
        <v>50</v>
      </c>
      <c r="F18" s="67">
        <v>47.92</v>
      </c>
      <c r="G18" s="8">
        <v>207</v>
      </c>
      <c r="H18" s="8">
        <v>14.88</v>
      </c>
      <c r="I18" s="8">
        <v>10.43</v>
      </c>
      <c r="J18" s="9">
        <v>13.7</v>
      </c>
    </row>
    <row r="19" spans="1:10" ht="15.6" x14ac:dyDescent="0.3">
      <c r="A19" s="6"/>
      <c r="B19" s="29" t="s">
        <v>28</v>
      </c>
      <c r="C19" s="48">
        <v>42</v>
      </c>
      <c r="D19" s="93" t="s">
        <v>51</v>
      </c>
      <c r="E19" s="45" t="s">
        <v>52</v>
      </c>
      <c r="F19" s="67">
        <v>4.1900000000000004</v>
      </c>
      <c r="G19" s="8">
        <v>29</v>
      </c>
      <c r="H19" s="8">
        <v>0.28000000000000003</v>
      </c>
      <c r="I19" s="8">
        <v>2.73</v>
      </c>
      <c r="J19" s="9">
        <v>0.95</v>
      </c>
    </row>
    <row r="20" spans="1:10" ht="28.8" x14ac:dyDescent="0.3">
      <c r="A20" s="6"/>
      <c r="B20" s="7" t="s">
        <v>31</v>
      </c>
      <c r="C20" s="52">
        <v>11</v>
      </c>
      <c r="D20" s="53" t="s">
        <v>53</v>
      </c>
      <c r="E20" s="45" t="s">
        <v>54</v>
      </c>
      <c r="F20" s="67">
        <v>9.6999999999999993</v>
      </c>
      <c r="G20" s="8">
        <v>223</v>
      </c>
      <c r="H20" s="8">
        <v>6.63</v>
      </c>
      <c r="I20" s="8">
        <v>5.67</v>
      </c>
      <c r="J20" s="9">
        <v>38.78</v>
      </c>
    </row>
    <row r="21" spans="1:10" ht="15.6" x14ac:dyDescent="0.3">
      <c r="A21" s="6"/>
      <c r="B21" s="7" t="s">
        <v>21</v>
      </c>
      <c r="C21" s="52">
        <v>35</v>
      </c>
      <c r="D21" s="53" t="s">
        <v>55</v>
      </c>
      <c r="E21" s="45" t="s">
        <v>35</v>
      </c>
      <c r="F21" s="67">
        <v>7.59</v>
      </c>
      <c r="G21" s="8">
        <v>97</v>
      </c>
      <c r="H21" s="8">
        <v>0.68</v>
      </c>
      <c r="I21" s="8">
        <v>0.28000000000000003</v>
      </c>
      <c r="J21" s="9">
        <v>19.64</v>
      </c>
    </row>
    <row r="22" spans="1:10" ht="15.6" x14ac:dyDescent="0.3">
      <c r="A22" s="6"/>
      <c r="B22" s="7" t="s">
        <v>17</v>
      </c>
      <c r="C22" s="52" t="s">
        <v>40</v>
      </c>
      <c r="D22" s="49" t="s">
        <v>41</v>
      </c>
      <c r="E22" s="43">
        <v>24</v>
      </c>
      <c r="F22" s="67">
        <f>43.64*0.024</f>
        <v>1.0473600000000001</v>
      </c>
      <c r="G22" s="8">
        <f>42*24/20</f>
        <v>50.4</v>
      </c>
      <c r="H22" s="8">
        <f>0.98*24/20</f>
        <v>1.1759999999999999</v>
      </c>
      <c r="I22" s="8">
        <f>0.2*24/20</f>
        <v>0.24000000000000005</v>
      </c>
      <c r="J22" s="9">
        <f>8.96*24/20</f>
        <v>10.752000000000001</v>
      </c>
    </row>
    <row r="23" spans="1:10" ht="15.6" x14ac:dyDescent="0.3">
      <c r="A23" s="6"/>
      <c r="B23" s="13" t="s">
        <v>16</v>
      </c>
      <c r="C23" s="52" t="s">
        <v>40</v>
      </c>
      <c r="D23" s="49" t="s">
        <v>42</v>
      </c>
      <c r="E23" s="43">
        <v>25</v>
      </c>
      <c r="F23" s="67">
        <v>0.89</v>
      </c>
      <c r="G23" s="8">
        <f>47*25/20</f>
        <v>58.75</v>
      </c>
      <c r="H23" s="8">
        <f>1.52*25/20</f>
        <v>1.9</v>
      </c>
      <c r="I23" s="8">
        <f>0.16*25/20</f>
        <v>0.2</v>
      </c>
      <c r="J23" s="9">
        <f>9.84*25/20</f>
        <v>12.3</v>
      </c>
    </row>
    <row r="24" spans="1:10" ht="16.2" thickBot="1" x14ac:dyDescent="0.35">
      <c r="A24" s="36"/>
      <c r="B24" s="37"/>
      <c r="C24" s="38"/>
      <c r="D24" s="38"/>
      <c r="E24" s="47"/>
      <c r="F24" s="74">
        <f>SUM(F16:F23)</f>
        <v>87.789298775510204</v>
      </c>
      <c r="G24" s="39">
        <f>SUM(G16:G23)</f>
        <v>840.55</v>
      </c>
      <c r="H24" s="39">
        <f>SUM(H16:H23)</f>
        <v>29.005999999999997</v>
      </c>
      <c r="I24" s="39">
        <f>SUM(I16:I23)</f>
        <v>29.629999999999995</v>
      </c>
      <c r="J24" s="40">
        <f>SUM(J16:J23)</f>
        <v>116.94199999999999</v>
      </c>
    </row>
    <row r="25" spans="1:10" ht="16.2" thickBot="1" x14ac:dyDescent="0.35">
      <c r="B25" s="1" t="s">
        <v>24</v>
      </c>
      <c r="E25" s="46"/>
      <c r="F25" s="46"/>
    </row>
    <row r="26" spans="1:10" ht="29.4" thickBot="1" x14ac:dyDescent="0.35">
      <c r="A26" s="16" t="s">
        <v>1</v>
      </c>
      <c r="B26" s="17" t="s">
        <v>2</v>
      </c>
      <c r="C26" s="17" t="s">
        <v>18</v>
      </c>
      <c r="D26" s="17" t="s">
        <v>3</v>
      </c>
      <c r="E26" s="41" t="s">
        <v>19</v>
      </c>
      <c r="F26" s="41" t="s">
        <v>4</v>
      </c>
      <c r="G26" s="18" t="s">
        <v>5</v>
      </c>
      <c r="H26" s="17" t="s">
        <v>6</v>
      </c>
      <c r="I26" s="17" t="s">
        <v>7</v>
      </c>
      <c r="J26" s="19" t="s">
        <v>8</v>
      </c>
    </row>
    <row r="27" spans="1:10" ht="15.6" x14ac:dyDescent="0.3">
      <c r="A27" s="2" t="s">
        <v>9</v>
      </c>
      <c r="B27" s="3" t="s">
        <v>10</v>
      </c>
      <c r="C27" s="94">
        <v>47</v>
      </c>
      <c r="D27" s="95" t="s">
        <v>34</v>
      </c>
      <c r="E27" s="96" t="s">
        <v>56</v>
      </c>
      <c r="F27" s="97">
        <f>10.76*250/200</f>
        <v>13.45</v>
      </c>
      <c r="G27" s="88">
        <f>136*250/200</f>
        <v>170</v>
      </c>
      <c r="H27" s="88">
        <f>4.13*250/200</f>
        <v>5.1624999999999996</v>
      </c>
      <c r="I27" s="88">
        <f>4.49*250/200</f>
        <v>5.6124999999999998</v>
      </c>
      <c r="J27" s="89">
        <f>19.7*250/200</f>
        <v>24.625</v>
      </c>
    </row>
    <row r="28" spans="1:10" ht="15.6" x14ac:dyDescent="0.3">
      <c r="A28" s="6"/>
      <c r="B28" s="29" t="s">
        <v>28</v>
      </c>
      <c r="C28" s="52">
        <v>38</v>
      </c>
      <c r="D28" s="53" t="s">
        <v>36</v>
      </c>
      <c r="E28" s="43">
        <v>50</v>
      </c>
      <c r="F28" s="67">
        <v>9.24</v>
      </c>
      <c r="G28" s="8">
        <v>63</v>
      </c>
      <c r="H28" s="8">
        <v>5.08</v>
      </c>
      <c r="I28" s="8">
        <v>4.5999999999999996</v>
      </c>
      <c r="J28" s="9">
        <v>0.28000000000000003</v>
      </c>
    </row>
    <row r="29" spans="1:10" ht="15.6" x14ac:dyDescent="0.3">
      <c r="A29" s="6"/>
      <c r="B29" s="29" t="s">
        <v>28</v>
      </c>
      <c r="C29" s="48">
        <v>3</v>
      </c>
      <c r="D29" s="49" t="s">
        <v>37</v>
      </c>
      <c r="E29" s="43">
        <v>10</v>
      </c>
      <c r="F29" s="67">
        <f>9.82*10/10</f>
        <v>9.82</v>
      </c>
      <c r="G29" s="8">
        <v>65</v>
      </c>
      <c r="H29" s="8">
        <v>0.08</v>
      </c>
      <c r="I29" s="8">
        <v>7.15</v>
      </c>
      <c r="J29" s="9">
        <v>0.13</v>
      </c>
    </row>
    <row r="30" spans="1:10" ht="15.6" x14ac:dyDescent="0.3">
      <c r="A30" s="6"/>
      <c r="B30" s="99" t="s">
        <v>28</v>
      </c>
      <c r="C30" s="48">
        <v>6</v>
      </c>
      <c r="D30" s="49" t="s">
        <v>38</v>
      </c>
      <c r="E30" s="43">
        <v>26</v>
      </c>
      <c r="F30" s="67">
        <f>10.02*26/12</f>
        <v>21.709999999999997</v>
      </c>
      <c r="G30" s="8">
        <f>35*26/12</f>
        <v>75.833333333333329</v>
      </c>
      <c r="H30" s="8">
        <f>2.63*26/12</f>
        <v>5.6983333333333333</v>
      </c>
      <c r="I30" s="8">
        <f>2.66*26/12</f>
        <v>5.7633333333333328</v>
      </c>
      <c r="J30" s="9">
        <v>0</v>
      </c>
    </row>
    <row r="31" spans="1:10" ht="15.6" x14ac:dyDescent="0.3">
      <c r="A31" s="6"/>
      <c r="B31" s="83" t="s">
        <v>11</v>
      </c>
      <c r="C31" s="75">
        <v>2</v>
      </c>
      <c r="D31" s="49" t="s">
        <v>39</v>
      </c>
      <c r="E31" s="43">
        <v>200</v>
      </c>
      <c r="F31" s="67">
        <v>11.52</v>
      </c>
      <c r="G31" s="8">
        <v>104</v>
      </c>
      <c r="H31" s="8">
        <v>3.8</v>
      </c>
      <c r="I31" s="8">
        <v>3.7</v>
      </c>
      <c r="J31" s="9">
        <v>15.18</v>
      </c>
    </row>
    <row r="32" spans="1:10" ht="15.6" x14ac:dyDescent="0.3">
      <c r="A32" s="6"/>
      <c r="B32" s="99" t="s">
        <v>16</v>
      </c>
      <c r="C32" s="48" t="s">
        <v>40</v>
      </c>
      <c r="D32" s="49" t="s">
        <v>41</v>
      </c>
      <c r="E32" s="43">
        <v>29</v>
      </c>
      <c r="F32" s="67">
        <v>1.26</v>
      </c>
      <c r="G32" s="8">
        <f>42*29/20</f>
        <v>60.9</v>
      </c>
      <c r="H32" s="8">
        <f>0.98*29/20</f>
        <v>1.4209999999999998</v>
      </c>
      <c r="I32" s="8">
        <f>0.2*29/20</f>
        <v>0.29000000000000004</v>
      </c>
      <c r="J32" s="9">
        <f>8.96*29/20</f>
        <v>12.992000000000001</v>
      </c>
    </row>
    <row r="33" spans="1:13" ht="15.6" x14ac:dyDescent="0.3">
      <c r="A33" s="6"/>
      <c r="B33" s="100" t="s">
        <v>17</v>
      </c>
      <c r="C33" s="48" t="s">
        <v>40</v>
      </c>
      <c r="D33" s="49" t="s">
        <v>42</v>
      </c>
      <c r="E33" s="43">
        <v>29</v>
      </c>
      <c r="F33" s="67">
        <f>36.36*0.029</f>
        <v>1.05444</v>
      </c>
      <c r="G33" s="8">
        <f>47*29/20</f>
        <v>68.150000000000006</v>
      </c>
      <c r="H33" s="8">
        <f>1.52*29/20</f>
        <v>2.2039999999999997</v>
      </c>
      <c r="I33" s="8">
        <f>0.16*29/20</f>
        <v>0.23199999999999998</v>
      </c>
      <c r="J33" s="9">
        <f>9.84*29/20</f>
        <v>14.268000000000001</v>
      </c>
    </row>
    <row r="34" spans="1:13" ht="16.2" thickBot="1" x14ac:dyDescent="0.35">
      <c r="A34" s="60"/>
      <c r="B34" s="61"/>
      <c r="C34" s="62"/>
      <c r="D34" s="63"/>
      <c r="E34" s="64"/>
      <c r="F34" s="71">
        <f>SUM(F27:F33)</f>
        <v>68.05444</v>
      </c>
      <c r="G34" s="65">
        <f>SUM(G27:G33)</f>
        <v>606.88333333333333</v>
      </c>
      <c r="H34" s="65">
        <f>SUM(H27:H33)</f>
        <v>23.445833333333333</v>
      </c>
      <c r="I34" s="65">
        <f>SUM(I27:I33)</f>
        <v>27.347833333333327</v>
      </c>
      <c r="J34" s="87">
        <f>SUM(J27:J33)</f>
        <v>67.475000000000009</v>
      </c>
    </row>
    <row r="35" spans="1:13" ht="14.4" customHeight="1" x14ac:dyDescent="0.3">
      <c r="A35" s="2" t="s">
        <v>20</v>
      </c>
      <c r="B35" s="83" t="s">
        <v>11</v>
      </c>
      <c r="C35" s="50">
        <v>57</v>
      </c>
      <c r="D35" s="51" t="s">
        <v>43</v>
      </c>
      <c r="E35" s="44">
        <v>200</v>
      </c>
      <c r="F35" s="70">
        <v>1.29</v>
      </c>
      <c r="G35" s="4">
        <v>41</v>
      </c>
      <c r="H35" s="4">
        <v>0</v>
      </c>
      <c r="I35" s="4">
        <v>0</v>
      </c>
      <c r="J35" s="5">
        <v>10.01</v>
      </c>
    </row>
    <row r="36" spans="1:13" ht="15.6" x14ac:dyDescent="0.3">
      <c r="A36" s="6"/>
      <c r="B36" s="29" t="s">
        <v>28</v>
      </c>
      <c r="C36" s="84" t="s">
        <v>40</v>
      </c>
      <c r="D36" s="85" t="s">
        <v>44</v>
      </c>
      <c r="E36" s="86">
        <v>134</v>
      </c>
      <c r="F36" s="76">
        <f>0.134*165</f>
        <v>22.110000000000003</v>
      </c>
      <c r="G36" s="12">
        <v>96</v>
      </c>
      <c r="H36" s="12">
        <v>1.5</v>
      </c>
      <c r="I36" s="12">
        <v>0.5</v>
      </c>
      <c r="J36" s="35">
        <v>21</v>
      </c>
    </row>
    <row r="37" spans="1:13" ht="15.6" x14ac:dyDescent="0.3">
      <c r="A37" s="6"/>
      <c r="B37" s="29" t="s">
        <v>28</v>
      </c>
      <c r="C37" s="84">
        <v>62</v>
      </c>
      <c r="D37" s="85" t="s">
        <v>45</v>
      </c>
      <c r="E37" s="86">
        <v>110</v>
      </c>
      <c r="F37" s="76">
        <f>13.08*110/50</f>
        <v>28.776</v>
      </c>
      <c r="G37" s="12">
        <f>171*110/50</f>
        <v>376.2</v>
      </c>
      <c r="H37" s="12">
        <f>5.02*110/50</f>
        <v>11.043999999999999</v>
      </c>
      <c r="I37" s="12">
        <f>5.41*110/50</f>
        <v>11.902000000000001</v>
      </c>
      <c r="J37" s="35">
        <f>23*110/50</f>
        <v>50.6</v>
      </c>
    </row>
    <row r="38" spans="1:13" ht="16.2" thickBot="1" x14ac:dyDescent="0.35">
      <c r="A38" s="56"/>
      <c r="B38" s="37"/>
      <c r="C38" s="57"/>
      <c r="D38" s="58"/>
      <c r="E38" s="59"/>
      <c r="F38" s="72">
        <v>51.03</v>
      </c>
      <c r="G38" s="68">
        <f>SUM(G35:G36)</f>
        <v>137</v>
      </c>
      <c r="H38" s="68">
        <f>SUM(H35:H36)</f>
        <v>1.5</v>
      </c>
      <c r="I38" s="68">
        <f>SUM(I35:I36)</f>
        <v>0.5</v>
      </c>
      <c r="J38" s="69">
        <f>SUM(J35:J36)</f>
        <v>31.009999999999998</v>
      </c>
    </row>
    <row r="39" spans="1:13" ht="15.6" x14ac:dyDescent="0.3">
      <c r="A39" s="2" t="s">
        <v>12</v>
      </c>
      <c r="B39" s="3" t="s">
        <v>13</v>
      </c>
      <c r="C39" s="50">
        <v>59</v>
      </c>
      <c r="D39" s="51" t="s">
        <v>46</v>
      </c>
      <c r="E39" s="42" t="s">
        <v>57</v>
      </c>
      <c r="F39" s="70">
        <v>11.34</v>
      </c>
      <c r="G39" s="4">
        <v>115</v>
      </c>
      <c r="H39" s="4">
        <v>1.95</v>
      </c>
      <c r="I39" s="4">
        <v>8.42</v>
      </c>
      <c r="J39" s="5">
        <v>8.5299999999999994</v>
      </c>
    </row>
    <row r="40" spans="1:13" ht="43.2" x14ac:dyDescent="0.3">
      <c r="A40" s="6"/>
      <c r="B40" s="7" t="s">
        <v>14</v>
      </c>
      <c r="C40" s="52">
        <v>28</v>
      </c>
      <c r="D40" s="53" t="s">
        <v>48</v>
      </c>
      <c r="E40" s="45" t="s">
        <v>58</v>
      </c>
      <c r="F40" s="67">
        <f>8.4*245/245+1.84</f>
        <v>10.24</v>
      </c>
      <c r="G40" s="8">
        <v>133</v>
      </c>
      <c r="H40" s="8">
        <v>2.19</v>
      </c>
      <c r="I40" s="8">
        <v>6.29</v>
      </c>
      <c r="J40" s="9">
        <v>19.62</v>
      </c>
      <c r="M40" t="s">
        <v>29</v>
      </c>
    </row>
    <row r="41" spans="1:13" ht="15.6" x14ac:dyDescent="0.3">
      <c r="A41" s="6"/>
      <c r="B41" s="7" t="s">
        <v>15</v>
      </c>
      <c r="C41" s="52">
        <v>67</v>
      </c>
      <c r="D41" s="53" t="s">
        <v>65</v>
      </c>
      <c r="E41" s="45" t="s">
        <v>57</v>
      </c>
      <c r="F41" s="67">
        <v>54.04</v>
      </c>
      <c r="G41" s="8">
        <v>230</v>
      </c>
      <c r="H41" s="8">
        <v>16.53</v>
      </c>
      <c r="I41" s="8">
        <v>11.59</v>
      </c>
      <c r="J41" s="9">
        <v>15.22</v>
      </c>
    </row>
    <row r="42" spans="1:13" ht="15.6" x14ac:dyDescent="0.3">
      <c r="A42" s="6"/>
      <c r="B42" s="29" t="s">
        <v>28</v>
      </c>
      <c r="C42" s="48">
        <v>42</v>
      </c>
      <c r="D42" s="93" t="s">
        <v>51</v>
      </c>
      <c r="E42" s="45" t="s">
        <v>60</v>
      </c>
      <c r="F42" s="67">
        <f>4.19*25/20</f>
        <v>5.2375000000000007</v>
      </c>
      <c r="G42" s="8">
        <f>29*25/20</f>
        <v>36.25</v>
      </c>
      <c r="H42" s="8">
        <f>0.28*25/20</f>
        <v>0.35000000000000003</v>
      </c>
      <c r="I42" s="8">
        <f>2.73*25/20</f>
        <v>3.4125000000000001</v>
      </c>
      <c r="J42" s="9">
        <f>0.95*25/20</f>
        <v>1.1875</v>
      </c>
    </row>
    <row r="43" spans="1:13" ht="28.8" x14ac:dyDescent="0.3">
      <c r="A43" s="6"/>
      <c r="B43" s="7" t="s">
        <v>31</v>
      </c>
      <c r="C43" s="52">
        <v>11</v>
      </c>
      <c r="D43" s="53" t="s">
        <v>53</v>
      </c>
      <c r="E43" s="45" t="s">
        <v>59</v>
      </c>
      <c r="F43" s="67">
        <v>11.24</v>
      </c>
      <c r="G43" s="8">
        <v>230</v>
      </c>
      <c r="H43" s="8">
        <v>6.63</v>
      </c>
      <c r="I43" s="8">
        <v>6.38</v>
      </c>
      <c r="J43" s="9">
        <v>38.79</v>
      </c>
    </row>
    <row r="44" spans="1:13" ht="15.6" x14ac:dyDescent="0.3">
      <c r="A44" s="6"/>
      <c r="B44" s="7" t="s">
        <v>21</v>
      </c>
      <c r="C44" s="52">
        <v>35</v>
      </c>
      <c r="D44" s="53" t="s">
        <v>55</v>
      </c>
      <c r="E44" s="45" t="s">
        <v>35</v>
      </c>
      <c r="F44" s="67">
        <v>7.59</v>
      </c>
      <c r="G44" s="8">
        <v>97</v>
      </c>
      <c r="H44" s="8">
        <v>0.68</v>
      </c>
      <c r="I44" s="8">
        <v>0.28000000000000003</v>
      </c>
      <c r="J44" s="9">
        <v>19.64</v>
      </c>
    </row>
    <row r="45" spans="1:13" ht="15.6" x14ac:dyDescent="0.3">
      <c r="A45" s="6"/>
      <c r="B45" s="7" t="s">
        <v>17</v>
      </c>
      <c r="C45" s="52" t="s">
        <v>40</v>
      </c>
      <c r="D45" s="49" t="s">
        <v>41</v>
      </c>
      <c r="E45" s="43">
        <v>30</v>
      </c>
      <c r="F45" s="67">
        <v>1.28</v>
      </c>
      <c r="G45" s="8">
        <f>42*30/20</f>
        <v>63</v>
      </c>
      <c r="H45" s="8">
        <f>0.98*30/20</f>
        <v>1.47</v>
      </c>
      <c r="I45" s="8">
        <f>0.2*30/20</f>
        <v>0.3</v>
      </c>
      <c r="J45" s="9">
        <f>8.96*30/20</f>
        <v>13.440000000000001</v>
      </c>
    </row>
    <row r="46" spans="1:13" ht="15.6" x14ac:dyDescent="0.3">
      <c r="A46" s="6"/>
      <c r="B46" s="13" t="s">
        <v>16</v>
      </c>
      <c r="C46" s="52" t="s">
        <v>40</v>
      </c>
      <c r="D46" s="49" t="s">
        <v>42</v>
      </c>
      <c r="E46" s="43">
        <v>30</v>
      </c>
      <c r="F46" s="67">
        <f>36.36*0.03</f>
        <v>1.0908</v>
      </c>
      <c r="G46" s="8">
        <f>47*30/20</f>
        <v>70.5</v>
      </c>
      <c r="H46" s="8">
        <f>1.52*30/20</f>
        <v>2.2800000000000002</v>
      </c>
      <c r="I46" s="8">
        <f>0.16*30/20</f>
        <v>0.24</v>
      </c>
      <c r="J46" s="9">
        <f>9.84*30/20</f>
        <v>14.76</v>
      </c>
    </row>
    <row r="47" spans="1:13" s="22" customFormat="1" ht="16.2" thickBot="1" x14ac:dyDescent="0.35">
      <c r="A47" s="36"/>
      <c r="B47" s="37"/>
      <c r="C47" s="38"/>
      <c r="D47" s="38"/>
      <c r="E47" s="47"/>
      <c r="F47" s="74">
        <f>SUM(F39:F46)</f>
        <v>102.0583</v>
      </c>
      <c r="G47" s="39">
        <f>SUM(G39:G46)</f>
        <v>974.75</v>
      </c>
      <c r="H47" s="39">
        <f>SUM(H39:H46)</f>
        <v>32.08</v>
      </c>
      <c r="I47" s="39">
        <f>SUM(I39:I46)</f>
        <v>36.912500000000001</v>
      </c>
      <c r="J47" s="40">
        <f>SUM(J39:J46)</f>
        <v>131.1875</v>
      </c>
    </row>
    <row r="48" spans="1:13" x14ac:dyDescent="0.3">
      <c r="A48" s="21" t="s">
        <v>26</v>
      </c>
    </row>
    <row r="49" spans="1:1" x14ac:dyDescent="0.3">
      <c r="A49" s="21" t="s">
        <v>30</v>
      </c>
    </row>
  </sheetData>
  <mergeCells count="2">
    <mergeCell ref="B1:D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J11 G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11.77734375" style="22" bestFit="1" customWidth="1"/>
    <col min="2" max="2" width="11.5546875" style="22" customWidth="1"/>
    <col min="3" max="3" width="7.109375" style="22" bestFit="1" customWidth="1"/>
    <col min="4" max="4" width="24.6640625" style="22" bestFit="1" customWidth="1"/>
    <col min="5" max="5" width="8.109375" style="23" bestFit="1" customWidth="1"/>
    <col min="6" max="6" width="7.109375" style="23" bestFit="1" customWidth="1"/>
    <col min="7" max="7" width="7.6640625" style="22" customWidth="1"/>
    <col min="8" max="8" width="6.109375" style="22" bestFit="1" customWidth="1"/>
    <col min="9" max="9" width="6.5546875" style="22" customWidth="1"/>
    <col min="10" max="10" width="10.109375" style="22" bestFit="1" customWidth="1"/>
    <col min="11" max="16384" width="8.88671875" style="22"/>
  </cols>
  <sheetData>
    <row r="1" spans="1:19" ht="28.8" customHeight="1" x14ac:dyDescent="0.3">
      <c r="A1" s="22" t="s">
        <v>0</v>
      </c>
      <c r="B1" s="106" t="s">
        <v>66</v>
      </c>
      <c r="C1" s="107"/>
      <c r="D1" s="108"/>
      <c r="E1" s="23" t="s">
        <v>23</v>
      </c>
      <c r="F1" s="24"/>
      <c r="H1" s="22" t="s">
        <v>33</v>
      </c>
      <c r="I1" s="109">
        <v>45183</v>
      </c>
      <c r="J1" s="109"/>
    </row>
    <row r="2" spans="1:19" ht="15" thickBot="1" x14ac:dyDescent="0.35">
      <c r="B2" s="25" t="s">
        <v>27</v>
      </c>
    </row>
    <row r="3" spans="1:19" s="26" customFormat="1" ht="29.4" thickBot="1" x14ac:dyDescent="0.35">
      <c r="A3" s="77" t="s">
        <v>1</v>
      </c>
      <c r="B3" s="78" t="s">
        <v>2</v>
      </c>
      <c r="C3" s="78" t="s">
        <v>18</v>
      </c>
      <c r="D3" s="78" t="s">
        <v>3</v>
      </c>
      <c r="E3" s="79" t="s">
        <v>19</v>
      </c>
      <c r="F3" s="79" t="s">
        <v>4</v>
      </c>
      <c r="G3" s="80" t="s">
        <v>5</v>
      </c>
      <c r="H3" s="78" t="s">
        <v>6</v>
      </c>
      <c r="I3" s="78" t="s">
        <v>7</v>
      </c>
      <c r="J3" s="81" t="s">
        <v>8</v>
      </c>
    </row>
    <row r="4" spans="1:19" s="26" customFormat="1" ht="15.6" x14ac:dyDescent="0.3">
      <c r="A4" s="2" t="s">
        <v>9</v>
      </c>
      <c r="B4" s="3" t="s">
        <v>10</v>
      </c>
      <c r="C4" s="94">
        <v>47</v>
      </c>
      <c r="D4" s="95" t="s">
        <v>34</v>
      </c>
      <c r="E4" s="96" t="s">
        <v>56</v>
      </c>
      <c r="F4" s="97">
        <f>14.31*250/200</f>
        <v>17.887499999999999</v>
      </c>
      <c r="G4" s="88">
        <v>136</v>
      </c>
      <c r="H4" s="88">
        <v>4.13</v>
      </c>
      <c r="I4" s="88">
        <v>4.49</v>
      </c>
      <c r="J4" s="89">
        <v>19.7</v>
      </c>
    </row>
    <row r="5" spans="1:19" ht="15.6" x14ac:dyDescent="0.3">
      <c r="A5" s="6"/>
      <c r="B5" s="29" t="s">
        <v>28</v>
      </c>
      <c r="C5" s="52">
        <v>38</v>
      </c>
      <c r="D5" s="53" t="s">
        <v>36</v>
      </c>
      <c r="E5" s="43">
        <v>50</v>
      </c>
      <c r="F5" s="67">
        <v>12.29</v>
      </c>
      <c r="G5" s="8">
        <v>63</v>
      </c>
      <c r="H5" s="8">
        <v>5.08</v>
      </c>
      <c r="I5" s="8">
        <v>4.5999999999999996</v>
      </c>
      <c r="J5" s="9">
        <v>0.28000000000000003</v>
      </c>
    </row>
    <row r="6" spans="1:19" ht="15.6" x14ac:dyDescent="0.3">
      <c r="A6" s="6"/>
      <c r="B6" s="29" t="s">
        <v>28</v>
      </c>
      <c r="C6" s="48">
        <v>3</v>
      </c>
      <c r="D6" s="49" t="s">
        <v>37</v>
      </c>
      <c r="E6" s="43">
        <v>10</v>
      </c>
      <c r="F6" s="67">
        <v>13.06</v>
      </c>
      <c r="G6" s="8">
        <v>65</v>
      </c>
      <c r="H6" s="8">
        <v>0.08</v>
      </c>
      <c r="I6" s="8">
        <v>7.15</v>
      </c>
      <c r="J6" s="9">
        <v>0.13</v>
      </c>
    </row>
    <row r="7" spans="1:19" ht="15.6" x14ac:dyDescent="0.3">
      <c r="A7" s="6"/>
      <c r="B7" s="99" t="s">
        <v>28</v>
      </c>
      <c r="C7" s="48">
        <v>6</v>
      </c>
      <c r="D7" s="49" t="s">
        <v>38</v>
      </c>
      <c r="E7" s="43">
        <v>13</v>
      </c>
      <c r="F7" s="67">
        <f>13.32*13/10</f>
        <v>17.315999999999999</v>
      </c>
      <c r="G7" s="8">
        <v>35</v>
      </c>
      <c r="H7" s="8">
        <v>2.63</v>
      </c>
      <c r="I7" s="8">
        <v>2.66</v>
      </c>
      <c r="J7" s="9">
        <v>0</v>
      </c>
      <c r="P7" s="98"/>
      <c r="Q7" s="98"/>
      <c r="R7" s="98"/>
      <c r="S7" s="98"/>
    </row>
    <row r="8" spans="1:19" ht="15.6" x14ac:dyDescent="0.3">
      <c r="A8" s="6"/>
      <c r="B8" s="83" t="s">
        <v>11</v>
      </c>
      <c r="C8" s="75">
        <v>2</v>
      </c>
      <c r="D8" s="49" t="s">
        <v>39</v>
      </c>
      <c r="E8" s="43">
        <v>200</v>
      </c>
      <c r="F8" s="67">
        <v>15.33</v>
      </c>
      <c r="G8" s="8">
        <v>104</v>
      </c>
      <c r="H8" s="8">
        <v>3.8</v>
      </c>
      <c r="I8" s="8">
        <v>3.7</v>
      </c>
      <c r="J8" s="9">
        <v>15.18</v>
      </c>
    </row>
    <row r="9" spans="1:19" ht="15.6" x14ac:dyDescent="0.3">
      <c r="A9" s="6"/>
      <c r="B9" s="99" t="s">
        <v>16</v>
      </c>
      <c r="C9" s="48" t="s">
        <v>40</v>
      </c>
      <c r="D9" s="49" t="s">
        <v>41</v>
      </c>
      <c r="E9" s="43">
        <v>22</v>
      </c>
      <c r="F9" s="67">
        <f>52.37*0.022</f>
        <v>1.1521399999999999</v>
      </c>
      <c r="G9" s="8">
        <f>42*22/20</f>
        <v>46.2</v>
      </c>
      <c r="H9" s="8">
        <f>0.98*22/20</f>
        <v>1.0779999999999998</v>
      </c>
      <c r="I9" s="8">
        <f>0.2*22/20</f>
        <v>0.22000000000000003</v>
      </c>
      <c r="J9" s="9">
        <f>8.96*22/20</f>
        <v>9.8559999999999999</v>
      </c>
    </row>
    <row r="10" spans="1:19" ht="15.6" x14ac:dyDescent="0.3">
      <c r="A10" s="6"/>
      <c r="B10" s="100" t="s">
        <v>17</v>
      </c>
      <c r="C10" s="48" t="s">
        <v>40</v>
      </c>
      <c r="D10" s="49" t="s">
        <v>42</v>
      </c>
      <c r="E10" s="43">
        <v>22</v>
      </c>
      <c r="F10" s="67">
        <f>43.63*0.022</f>
        <v>0.95986000000000005</v>
      </c>
      <c r="G10" s="8">
        <f>47*23/20</f>
        <v>54.05</v>
      </c>
      <c r="H10" s="8">
        <f>1.52*23/20</f>
        <v>1.748</v>
      </c>
      <c r="I10" s="8">
        <f>0.16*23/20</f>
        <v>0.184</v>
      </c>
      <c r="J10" s="9">
        <f>9.84*23/20</f>
        <v>11.315999999999999</v>
      </c>
    </row>
    <row r="11" spans="1:19" ht="16.2" thickBot="1" x14ac:dyDescent="0.35">
      <c r="A11" s="60"/>
      <c r="B11" s="61"/>
      <c r="C11" s="62"/>
      <c r="D11" s="63"/>
      <c r="E11" s="64"/>
      <c r="F11" s="71">
        <f>SUM(F4:F10)</f>
        <v>77.995500000000007</v>
      </c>
      <c r="G11" s="65">
        <f>SUM(G4:G10)</f>
        <v>503.25</v>
      </c>
      <c r="H11" s="65">
        <f>SUM(H4:H10)</f>
        <v>18.546000000000003</v>
      </c>
      <c r="I11" s="65">
        <f>SUM(I4:I10)</f>
        <v>23.004000000000001</v>
      </c>
      <c r="J11" s="87">
        <f>SUM(J4:J10)</f>
        <v>56.462000000000003</v>
      </c>
    </row>
    <row r="12" spans="1:19" ht="28.8" x14ac:dyDescent="0.3">
      <c r="A12" s="28"/>
      <c r="B12" s="7" t="s">
        <v>31</v>
      </c>
      <c r="C12" s="52">
        <v>11</v>
      </c>
      <c r="D12" s="53" t="s">
        <v>53</v>
      </c>
      <c r="E12" s="45" t="s">
        <v>59</v>
      </c>
      <c r="F12" s="67">
        <f>12.9*180/150</f>
        <v>15.48</v>
      </c>
      <c r="G12" s="8">
        <v>230</v>
      </c>
      <c r="H12" s="8">
        <v>6.63</v>
      </c>
      <c r="I12" s="8">
        <v>6.38</v>
      </c>
      <c r="J12" s="9">
        <v>38.79</v>
      </c>
    </row>
    <row r="13" spans="1:19" ht="15.6" x14ac:dyDescent="0.3">
      <c r="A13" s="28"/>
      <c r="B13" s="7" t="s">
        <v>15</v>
      </c>
      <c r="C13" s="52">
        <v>67</v>
      </c>
      <c r="D13" s="53" t="s">
        <v>65</v>
      </c>
      <c r="E13" s="45" t="s">
        <v>50</v>
      </c>
      <c r="F13" s="67">
        <v>63.73</v>
      </c>
      <c r="G13" s="8">
        <v>207</v>
      </c>
      <c r="H13" s="8">
        <v>14.88</v>
      </c>
      <c r="I13" s="8">
        <v>10.43</v>
      </c>
      <c r="J13" s="9">
        <v>13.7</v>
      </c>
    </row>
    <row r="14" spans="1:19" ht="15.6" x14ac:dyDescent="0.3">
      <c r="A14" s="28"/>
      <c r="B14" s="7" t="s">
        <v>32</v>
      </c>
      <c r="C14" s="52" t="s">
        <v>40</v>
      </c>
      <c r="D14" s="53" t="s">
        <v>62</v>
      </c>
      <c r="E14" s="45" t="s">
        <v>63</v>
      </c>
      <c r="F14" s="67">
        <f>225.6*0.04*1.33</f>
        <v>12.00192</v>
      </c>
      <c r="G14" s="8">
        <v>96</v>
      </c>
      <c r="H14" s="8">
        <v>3.04</v>
      </c>
      <c r="I14" s="8">
        <v>0.32</v>
      </c>
      <c r="J14" s="9">
        <v>19.440000000000001</v>
      </c>
    </row>
    <row r="15" spans="1:19" ht="28.8" x14ac:dyDescent="0.3">
      <c r="A15" s="28"/>
      <c r="B15" s="99" t="s">
        <v>21</v>
      </c>
      <c r="C15" s="48">
        <v>17</v>
      </c>
      <c r="D15" s="49" t="s">
        <v>61</v>
      </c>
      <c r="E15" s="101">
        <v>200</v>
      </c>
      <c r="F15" s="102">
        <v>6.11</v>
      </c>
      <c r="G15" s="8">
        <v>80</v>
      </c>
      <c r="H15" s="8">
        <v>0.44</v>
      </c>
      <c r="I15" s="8">
        <v>0</v>
      </c>
      <c r="J15" s="9">
        <v>18.899999999999999</v>
      </c>
    </row>
    <row r="16" spans="1:19" ht="15.6" x14ac:dyDescent="0.3">
      <c r="A16" s="28"/>
      <c r="B16" s="7" t="s">
        <v>17</v>
      </c>
      <c r="C16" s="48" t="s">
        <v>40</v>
      </c>
      <c r="D16" s="49" t="s">
        <v>41</v>
      </c>
      <c r="E16" s="43">
        <v>28</v>
      </c>
      <c r="F16" s="67">
        <v>1.46</v>
      </c>
      <c r="G16" s="8">
        <f>42*28/20</f>
        <v>58.8</v>
      </c>
      <c r="H16" s="8">
        <f>0.98*28/20</f>
        <v>1.3719999999999999</v>
      </c>
      <c r="I16" s="8">
        <f>0.2*28/20</f>
        <v>0.28000000000000003</v>
      </c>
      <c r="J16" s="9">
        <f>8.96*28/20</f>
        <v>12.544</v>
      </c>
    </row>
    <row r="17" spans="1:10" ht="15.6" x14ac:dyDescent="0.3">
      <c r="A17" s="28"/>
      <c r="B17" s="13" t="s">
        <v>16</v>
      </c>
      <c r="C17" s="48" t="s">
        <v>40</v>
      </c>
      <c r="D17" s="49" t="s">
        <v>42</v>
      </c>
      <c r="E17" s="43">
        <v>28</v>
      </c>
      <c r="F17" s="67">
        <f>43.63*0.028</f>
        <v>1.2216400000000001</v>
      </c>
      <c r="G17" s="8">
        <f>47*28/20</f>
        <v>65.8</v>
      </c>
      <c r="H17" s="8">
        <f>1.52*28/20</f>
        <v>2.1280000000000001</v>
      </c>
      <c r="I17" s="8">
        <f>0.16*28/20</f>
        <v>0.22400000000000003</v>
      </c>
      <c r="J17" s="9">
        <f>9.84*28/20</f>
        <v>13.776</v>
      </c>
    </row>
    <row r="18" spans="1:10" ht="16.2" thickBot="1" x14ac:dyDescent="0.35">
      <c r="A18" s="30"/>
      <c r="B18" s="31"/>
      <c r="C18" s="32"/>
      <c r="D18" s="32"/>
      <c r="E18" s="66"/>
      <c r="F18" s="82">
        <f>SUM(F12:F17)</f>
        <v>100.00355999999998</v>
      </c>
      <c r="G18" s="33">
        <f>SUM(G12:G17)</f>
        <v>737.59999999999991</v>
      </c>
      <c r="H18" s="33">
        <f>SUM(H12:H17)</f>
        <v>28.490000000000002</v>
      </c>
      <c r="I18" s="33">
        <f>SUM(I12:I17)</f>
        <v>17.634</v>
      </c>
      <c r="J18" s="34">
        <f>SUM(J12:J17)</f>
        <v>117.14999999999998</v>
      </c>
    </row>
    <row r="19" spans="1:10" ht="43.2" x14ac:dyDescent="0.3">
      <c r="A19" s="27"/>
      <c r="B19" s="7" t="s">
        <v>14</v>
      </c>
      <c r="C19" s="52">
        <v>28</v>
      </c>
      <c r="D19" s="53" t="s">
        <v>48</v>
      </c>
      <c r="E19" s="45" t="s">
        <v>58</v>
      </c>
      <c r="F19" s="67">
        <f>11.17*245/245+2.45</f>
        <v>13.620000000000001</v>
      </c>
      <c r="G19" s="8">
        <v>133</v>
      </c>
      <c r="H19" s="8">
        <v>2.19</v>
      </c>
      <c r="I19" s="8">
        <v>6.29</v>
      </c>
      <c r="J19" s="9">
        <v>19.62</v>
      </c>
    </row>
    <row r="20" spans="1:10" ht="28.8" x14ac:dyDescent="0.3">
      <c r="A20" s="28"/>
      <c r="B20" s="7" t="s">
        <v>31</v>
      </c>
      <c r="C20" s="52">
        <v>11</v>
      </c>
      <c r="D20" s="53" t="s">
        <v>53</v>
      </c>
      <c r="E20" s="45" t="s">
        <v>64</v>
      </c>
      <c r="F20" s="67">
        <f>12.9*160/150</f>
        <v>13.76</v>
      </c>
      <c r="G20" s="8">
        <f>230*170/180</f>
        <v>217.22222222222223</v>
      </c>
      <c r="H20" s="8">
        <f>6.63*170/180</f>
        <v>6.2616666666666658</v>
      </c>
      <c r="I20" s="8">
        <f>6.38*170/180</f>
        <v>6.0255555555555551</v>
      </c>
      <c r="J20" s="9">
        <f>38.79*170/180</f>
        <v>36.634999999999998</v>
      </c>
    </row>
    <row r="21" spans="1:10" ht="15.6" x14ac:dyDescent="0.3">
      <c r="A21" s="28"/>
      <c r="B21" s="29" t="s">
        <v>28</v>
      </c>
      <c r="C21" s="48">
        <v>42</v>
      </c>
      <c r="D21" s="93" t="s">
        <v>51</v>
      </c>
      <c r="E21" s="45" t="s">
        <v>52</v>
      </c>
      <c r="F21" s="67">
        <v>5.6</v>
      </c>
      <c r="G21" s="8">
        <v>29</v>
      </c>
      <c r="H21" s="8">
        <v>0.28000000000000003</v>
      </c>
      <c r="I21" s="8">
        <v>2.73</v>
      </c>
      <c r="J21" s="9">
        <v>0.95</v>
      </c>
    </row>
    <row r="22" spans="1:10" ht="15.6" x14ac:dyDescent="0.3">
      <c r="A22" s="28"/>
      <c r="B22" s="7" t="s">
        <v>15</v>
      </c>
      <c r="C22" s="52">
        <v>67</v>
      </c>
      <c r="D22" s="53" t="s">
        <v>65</v>
      </c>
      <c r="E22" s="45" t="s">
        <v>57</v>
      </c>
      <c r="F22" s="67">
        <v>71.88</v>
      </c>
      <c r="G22" s="8">
        <v>230</v>
      </c>
      <c r="H22" s="8">
        <v>16.53</v>
      </c>
      <c r="I22" s="8">
        <v>11.59</v>
      </c>
      <c r="J22" s="9">
        <v>15.22</v>
      </c>
    </row>
    <row r="23" spans="1:10" ht="15.6" x14ac:dyDescent="0.3">
      <c r="A23" s="28"/>
      <c r="B23" s="7" t="s">
        <v>32</v>
      </c>
      <c r="C23" s="52" t="s">
        <v>40</v>
      </c>
      <c r="D23" s="53" t="s">
        <v>62</v>
      </c>
      <c r="E23" s="45" t="s">
        <v>63</v>
      </c>
      <c r="F23" s="67">
        <f>225.6*0.04*1.33</f>
        <v>12.00192</v>
      </c>
      <c r="G23" s="8">
        <v>96</v>
      </c>
      <c r="H23" s="8">
        <v>3.04</v>
      </c>
      <c r="I23" s="8">
        <v>0.32</v>
      </c>
      <c r="J23" s="9">
        <v>19.440000000000001</v>
      </c>
    </row>
    <row r="24" spans="1:10" ht="28.8" x14ac:dyDescent="0.3">
      <c r="A24" s="28"/>
      <c r="B24" s="99" t="s">
        <v>21</v>
      </c>
      <c r="C24" s="48">
        <v>17</v>
      </c>
      <c r="D24" s="49" t="s">
        <v>61</v>
      </c>
      <c r="E24" s="101">
        <v>200</v>
      </c>
      <c r="F24" s="102">
        <v>6.11</v>
      </c>
      <c r="G24" s="8">
        <v>80</v>
      </c>
      <c r="H24" s="8">
        <v>0.44</v>
      </c>
      <c r="I24" s="8">
        <v>0</v>
      </c>
      <c r="J24" s="9">
        <v>18.899999999999999</v>
      </c>
    </row>
    <row r="25" spans="1:10" ht="15.6" x14ac:dyDescent="0.3">
      <c r="A25" s="28"/>
      <c r="B25" s="7" t="s">
        <v>17</v>
      </c>
      <c r="C25" s="48" t="s">
        <v>40</v>
      </c>
      <c r="D25" s="49" t="s">
        <v>41</v>
      </c>
      <c r="E25" s="43">
        <v>21</v>
      </c>
      <c r="F25" s="67">
        <f>52.37*0.021</f>
        <v>1.0997699999999999</v>
      </c>
      <c r="G25" s="8">
        <f>42*22/20</f>
        <v>46.2</v>
      </c>
      <c r="H25" s="8">
        <f>0.98*22/20</f>
        <v>1.0779999999999998</v>
      </c>
      <c r="I25" s="8">
        <f>0.2*22/20</f>
        <v>0.22000000000000003</v>
      </c>
      <c r="J25" s="9">
        <f>8.96*22/20</f>
        <v>9.8559999999999999</v>
      </c>
    </row>
    <row r="26" spans="1:10" ht="15.6" x14ac:dyDescent="0.3">
      <c r="A26" s="28"/>
      <c r="B26" s="13" t="s">
        <v>16</v>
      </c>
      <c r="C26" s="48" t="s">
        <v>40</v>
      </c>
      <c r="D26" s="49" t="s">
        <v>42</v>
      </c>
      <c r="E26" s="43">
        <v>22</v>
      </c>
      <c r="F26" s="67">
        <f>43.63*0.021</f>
        <v>0.9162300000000001</v>
      </c>
      <c r="G26" s="8">
        <f>47*23/20</f>
        <v>54.05</v>
      </c>
      <c r="H26" s="8">
        <f>1.52*23/20</f>
        <v>1.748</v>
      </c>
      <c r="I26" s="8">
        <f>0.16*23/20</f>
        <v>0.184</v>
      </c>
      <c r="J26" s="9">
        <f>9.84*23/20</f>
        <v>11.315999999999999</v>
      </c>
    </row>
    <row r="27" spans="1:10" ht="16.2" thickBot="1" x14ac:dyDescent="0.35">
      <c r="A27" s="30"/>
      <c r="B27" s="31"/>
      <c r="C27" s="32"/>
      <c r="D27" s="32"/>
      <c r="E27" s="66"/>
      <c r="F27" s="82">
        <f>SUM(F19:F26)</f>
        <v>124.98792</v>
      </c>
      <c r="G27" s="33">
        <f>SUM(G19:G25)</f>
        <v>831.42222222222222</v>
      </c>
      <c r="H27" s="33">
        <f>SUM(H19:H25)</f>
        <v>29.819666666666667</v>
      </c>
      <c r="I27" s="33">
        <f>SUM(I19:I25)</f>
        <v>27.175555555555555</v>
      </c>
      <c r="J27" s="34">
        <f>SUM(J19:J25)</f>
        <v>120.62099999999998</v>
      </c>
    </row>
    <row r="28" spans="1:10" customFormat="1" x14ac:dyDescent="0.3">
      <c r="E28" s="15"/>
      <c r="F28" s="15"/>
    </row>
    <row r="29" spans="1:10" customFormat="1" x14ac:dyDescent="0.3">
      <c r="A29" s="21" t="s">
        <v>25</v>
      </c>
      <c r="E29" s="15"/>
      <c r="F29" s="15"/>
    </row>
    <row r="30" spans="1:10" customFormat="1" x14ac:dyDescent="0.3">
      <c r="E30" s="15"/>
      <c r="F30" s="15"/>
    </row>
    <row r="31" spans="1:10" customFormat="1" x14ac:dyDescent="0.3">
      <c r="A31" s="21" t="s">
        <v>26</v>
      </c>
      <c r="E31" s="15"/>
      <c r="F31" s="15"/>
    </row>
    <row r="32" spans="1:10" customFormat="1" x14ac:dyDescent="0.3">
      <c r="E32" s="15"/>
      <c r="F32" s="15"/>
    </row>
  </sheetData>
  <mergeCells count="2">
    <mergeCell ref="B1:D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G11 F20: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2023-04-06T02:29:58Z</cp:lastPrinted>
  <dcterms:created xsi:type="dcterms:W3CDTF">2015-06-05T18:19:34Z</dcterms:created>
  <dcterms:modified xsi:type="dcterms:W3CDTF">2023-09-12T09:11:46Z</dcterms:modified>
</cp:coreProperties>
</file>