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8747BB0F-E65A-489C-9B0C-BC5EB8B110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F19" i="2" l="1"/>
  <c r="F37" i="1"/>
  <c r="J23" i="2"/>
  <c r="I23" i="2"/>
  <c r="H23" i="2"/>
  <c r="G23" i="2"/>
  <c r="J22" i="2"/>
  <c r="I22" i="2"/>
  <c r="H22" i="2"/>
  <c r="G22" i="2"/>
  <c r="F22" i="2"/>
  <c r="J18" i="2"/>
  <c r="I18" i="2"/>
  <c r="H18" i="2"/>
  <c r="G18" i="2"/>
  <c r="F18" i="2"/>
  <c r="F20" i="2"/>
  <c r="F24" i="2"/>
  <c r="J16" i="2"/>
  <c r="I16" i="2"/>
  <c r="H16" i="2"/>
  <c r="G16" i="2"/>
  <c r="J15" i="2"/>
  <c r="I15" i="2"/>
  <c r="H15" i="2"/>
  <c r="G15" i="2"/>
  <c r="F16" i="2"/>
  <c r="F15" i="2"/>
  <c r="F11" i="2"/>
  <c r="F12" i="2"/>
  <c r="J9" i="2"/>
  <c r="I9" i="2"/>
  <c r="I10" i="2" s="1"/>
  <c r="H9" i="2"/>
  <c r="G9" i="2"/>
  <c r="J8" i="2"/>
  <c r="J10" i="2" s="1"/>
  <c r="I8" i="2"/>
  <c r="H8" i="2"/>
  <c r="G8" i="2"/>
  <c r="F8" i="2"/>
  <c r="F4" i="2"/>
  <c r="F41" i="1"/>
  <c r="F42" i="1"/>
  <c r="F38" i="1"/>
  <c r="F26" i="1"/>
  <c r="F25" i="1"/>
  <c r="F5" i="1"/>
  <c r="F8" i="1"/>
  <c r="F9" i="1"/>
  <c r="F10" i="1" s="1"/>
  <c r="F4" i="1"/>
  <c r="J21" i="1"/>
  <c r="I21" i="1"/>
  <c r="H21" i="1"/>
  <c r="G21" i="1"/>
  <c r="J20" i="1"/>
  <c r="I20" i="1"/>
  <c r="H20" i="1"/>
  <c r="G20" i="1"/>
  <c r="J18" i="1"/>
  <c r="I18" i="1"/>
  <c r="H18" i="1"/>
  <c r="G18" i="1"/>
  <c r="F20" i="1"/>
  <c r="F18" i="1"/>
  <c r="F16" i="1"/>
  <c r="F15" i="1"/>
  <c r="F17" i="1"/>
  <c r="F12" i="1"/>
  <c r="J9" i="1"/>
  <c r="I9" i="1"/>
  <c r="H9" i="1"/>
  <c r="G9" i="1"/>
  <c r="J8" i="1"/>
  <c r="I8" i="1"/>
  <c r="H8" i="1"/>
  <c r="G8" i="1"/>
  <c r="F14" i="2"/>
  <c r="F6" i="2"/>
  <c r="F5" i="2"/>
  <c r="F36" i="1"/>
  <c r="F33" i="1"/>
  <c r="F34" i="1"/>
  <c r="F29" i="1"/>
  <c r="F27" i="1"/>
  <c r="F13" i="1"/>
  <c r="F6" i="1"/>
  <c r="H10" i="2"/>
  <c r="G10" i="2"/>
  <c r="G43" i="1"/>
  <c r="G31" i="1"/>
  <c r="J43" i="1"/>
  <c r="I43" i="1"/>
  <c r="H43" i="1"/>
  <c r="J35" i="1"/>
  <c r="I35" i="1"/>
  <c r="H35" i="1"/>
  <c r="G35" i="1"/>
  <c r="J31" i="1"/>
  <c r="I31" i="1"/>
  <c r="H31" i="1"/>
  <c r="J14" i="1"/>
  <c r="I14" i="1"/>
  <c r="H14" i="1"/>
  <c r="G14" i="1"/>
  <c r="F17" i="2" l="1"/>
  <c r="F22" i="1"/>
  <c r="F10" i="2"/>
  <c r="G24" i="2"/>
  <c r="G17" i="2" l="1"/>
  <c r="J17" i="2" l="1"/>
  <c r="I17" i="2"/>
  <c r="H17" i="2"/>
  <c r="J24" i="2" l="1"/>
  <c r="I24" i="2"/>
  <c r="H24" i="2"/>
  <c r="G22" i="1" l="1"/>
  <c r="J10" i="1" l="1"/>
  <c r="H10" i="1"/>
  <c r="G10" i="1"/>
  <c r="I10" i="1"/>
  <c r="J22" i="1"/>
  <c r="I22" i="1"/>
  <c r="H22" i="1"/>
</calcChain>
</file>

<file path=xl/sharedStrings.xml><?xml version="1.0" encoding="utf-8"?>
<sst xmlns="http://schemas.openxmlformats.org/spreadsheetml/2006/main" count="205" uniqueCount="70">
  <si>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</si>
  <si>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</si>
  <si>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</si>
  <si>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</si>
  <si>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</si>
  <si>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</si>
  <si>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</si>
  <si>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</si>
  <si>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</si>
  <si>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</si>
  <si>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</si>
  <si>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</si>
  <si>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</si>
  <si>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</si>
  <si>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</si>
  <si>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</si>
  <si>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</si>
  <si>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</si>
  <si>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</si>
  <si>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</si>
  <si>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</si>
  <si>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</si>
  <si>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добавка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</si>
  <si>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</si>
  <si>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</si>
  <si>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</si>
  <si>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</si>
  <si>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</si>
  <si>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</si>
  <si>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</si>
  <si>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</si>
  <si>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</si>
  <si>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200</t>
  </si>
  <si>
    <t>Батон</t>
  </si>
  <si>
    <t>Сок</t>
  </si>
  <si>
    <t>60</t>
  </si>
  <si>
    <t>30</t>
  </si>
  <si>
    <t>День 4</t>
  </si>
  <si>
    <t>гарнир</t>
  </si>
  <si>
    <t>Пюре картофельное</t>
  </si>
  <si>
    <t>90</t>
  </si>
  <si>
    <t>Плов из птицы</t>
  </si>
  <si>
    <t>Зеленый горошек отварной</t>
  </si>
  <si>
    <t>Чай с сахаром</t>
  </si>
  <si>
    <t>Молоко кипяченое</t>
  </si>
  <si>
    <t>50</t>
  </si>
  <si>
    <t>Икра кабачковая</t>
  </si>
  <si>
    <t>Рыба,тушеная в томате с овощами</t>
  </si>
  <si>
    <t>180</t>
  </si>
  <si>
    <t>Компот из смеси сухофруктов</t>
  </si>
  <si>
    <t>80</t>
  </si>
  <si>
    <t>Вафли</t>
  </si>
  <si>
    <t>156</t>
  </si>
  <si>
    <t>170/30</t>
  </si>
  <si>
    <t>45/45</t>
  </si>
  <si>
    <t>Борщ с капустой и картофелем со сметаной и мясом</t>
  </si>
  <si>
    <t>235/5/10</t>
  </si>
  <si>
    <t>130/30</t>
  </si>
  <si>
    <t>22</t>
  </si>
  <si>
    <t>Яблоко</t>
  </si>
  <si>
    <t>46</t>
  </si>
  <si>
    <t>170</t>
  </si>
  <si>
    <t>240/5/5</t>
  </si>
  <si>
    <t>50/50</t>
  </si>
  <si>
    <t>57</t>
  </si>
  <si>
    <t>28</t>
  </si>
  <si>
    <t>160/40</t>
  </si>
  <si>
    <t>34</t>
  </si>
  <si>
    <t>33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</si>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</sst>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5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4" xfId="0" applyFont="1" applyBorder="1"/>
    <xf numFmtId="0" fontId="5" fillId="0" borderId="14" xfId="0" applyFont="1" applyBorder="1" applyAlignment="1">
      <alignment horizontal="center"/>
    </xf>
    <xf numFmtId="2" fontId="3" fillId="0" borderId="14" xfId="0" applyNumberFormat="1" applyFont="1" applyBorder="1"/>
    <xf numFmtId="2" fontId="3" fillId="0" borderId="15" xfId="0" applyNumberFormat="1" applyFont="1" applyBorder="1"/>
    <xf numFmtId="2" fontId="0" fillId="0" borderId="16" xfId="0" applyNumberFormat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2" fontId="0" fillId="0" borderId="15" xfId="0" applyNumberFormat="1" applyBorder="1"/>
    <xf numFmtId="0" fontId="6" fillId="0" borderId="9" xfId="0" applyFont="1" applyBorder="1" applyAlignment="1">
      <alignment horizontal="center" vertical="center"/>
    </xf>
    <xf numFmtId="49" fontId="6" fillId="0" borderId="5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5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1" fontId="6" fillId="0" borderId="17" xfId="0" applyNumberFormat="1" applyFont="1" applyBorder="1" applyAlignment="1" applyProtection="1">
      <alignment horizontal="center"/>
      <protection locked="0"/>
    </xf>
    <xf numFmtId="2" fontId="0" fillId="0" borderId="17" xfId="0" applyNumberFormat="1" applyBorder="1" applyProtection="1">
      <protection locked="0"/>
    </xf>
    <xf numFmtId="0" fontId="8" fillId="0" borderId="14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49" fontId="6" fillId="0" borderId="9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0" fillId="0" borderId="18" xfId="0" applyNumberFormat="1" applyBorder="1" applyProtection="1">
      <protection locked="0"/>
    </xf>
    <xf numFmtId="2" fontId="9" fillId="0" borderId="14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1" fontId="6" fillId="0" borderId="9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0" fontId="3" fillId="0" borderId="21" xfId="0" applyFont="1" applyBorder="1"/>
    <xf numFmtId="0" fontId="3" fillId="0" borderId="3" xfId="0" applyFont="1" applyBorder="1"/>
    <xf numFmtId="0" fontId="3" fillId="0" borderId="22" xfId="0" applyFont="1" applyBorder="1" applyProtection="1">
      <protection locked="0"/>
    </xf>
    <xf numFmtId="0" fontId="3" fillId="0" borderId="22" xfId="0" applyFont="1" applyBorder="1"/>
    <xf numFmtId="0" fontId="0" fillId="0" borderId="3" xfId="0" applyBorder="1"/>
    <xf numFmtId="0" fontId="0" fillId="0" borderId="23" xfId="0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" fillId="0" borderId="28" xfId="0" applyFont="1" applyBorder="1"/>
    <xf numFmtId="0" fontId="0" fillId="0" borderId="22" xfId="0" applyBorder="1"/>
    <xf numFmtId="0" fontId="3" fillId="0" borderId="29" xfId="0" applyFont="1" applyBorder="1" applyProtection="1">
      <protection locked="0"/>
    </xf>
    <xf numFmtId="0" fontId="3" fillId="0" borderId="24" xfId="0" applyFont="1" applyBorder="1"/>
    <xf numFmtId="0" fontId="3" fillId="0" borderId="25" xfId="0" applyFont="1" applyBorder="1"/>
    <xf numFmtId="0" fontId="3" fillId="0" borderId="30" xfId="0" applyFont="1" applyBorder="1"/>
    <xf numFmtId="0" fontId="0" fillId="0" borderId="29" xfId="0" applyBorder="1" applyProtection="1">
      <protection locked="0"/>
    </xf>
    <xf numFmtId="0" fontId="0" fillId="0" borderId="21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L45"/>
  <sheetViews>
    <sheetView tabSelected="1" topLeftCell="A19" zoomScale="110" zoomScaleNormal="110" workbookViewId="0">
      <selection activeCell="G34" sqref="G34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9.6640625" style="12" customWidth="1"/>
    <col min="6" max="6" width="7.5546875" style="12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2" ht="28.8" customHeight="1" x14ac:dyDescent="0.3">
      <c r="A1" t="s">
        <v>0</v>
      </c>
      <c r="B1" s="104" t="s">
        <v>69</v>
      </c>
      <c r="C1" s="105"/>
      <c r="D1" s="106"/>
      <c r="E1" s="12" t="s">
        <v>27</v>
      </c>
      <c r="F1" s="11"/>
      <c r="G1" s="107" t="s">
        <v>37</v>
      </c>
      <c r="H1" s="108"/>
      <c r="I1" s="115">
        <v>45194</v>
      </c>
      <c r="J1" s="115"/>
    </row>
    <row r="2" spans="1:12" ht="15" thickBot="1" x14ac:dyDescent="0.35">
      <c r="B2" s="1" t="s">
        <v>26</v>
      </c>
    </row>
    <row r="3" spans="1:12" s="17" customFormat="1" ht="29.4" thickBot="1" x14ac:dyDescent="0.35">
      <c r="A3" s="103" t="s">
        <v>1</v>
      </c>
      <c r="B3" s="102" t="s">
        <v>2</v>
      </c>
      <c r="C3" s="14" t="s">
        <v>18</v>
      </c>
      <c r="D3" s="14" t="s">
        <v>3</v>
      </c>
      <c r="E3" s="37" t="s">
        <v>19</v>
      </c>
      <c r="F3" s="37" t="s">
        <v>4</v>
      </c>
      <c r="G3" s="15" t="s">
        <v>5</v>
      </c>
      <c r="H3" s="14" t="s">
        <v>6</v>
      </c>
      <c r="I3" s="14" t="s">
        <v>7</v>
      </c>
      <c r="J3" s="16" t="s">
        <v>8</v>
      </c>
    </row>
    <row r="4" spans="1:12" ht="15.6" x14ac:dyDescent="0.3">
      <c r="A4" s="87" t="s">
        <v>9</v>
      </c>
      <c r="B4" s="81" t="s">
        <v>10</v>
      </c>
      <c r="C4" s="46">
        <v>34</v>
      </c>
      <c r="D4" s="47" t="s">
        <v>41</v>
      </c>
      <c r="E4" s="73" t="s">
        <v>57</v>
      </c>
      <c r="F4" s="74">
        <f>40.7*30/54+6.35*130/106</f>
        <v>30.398846960167717</v>
      </c>
      <c r="G4" s="4">
        <v>291.33</v>
      </c>
      <c r="H4" s="4">
        <v>13.7</v>
      </c>
      <c r="I4" s="4">
        <v>14.92</v>
      </c>
      <c r="J4" s="5">
        <v>25.84</v>
      </c>
    </row>
    <row r="5" spans="1:12" ht="28.8" x14ac:dyDescent="0.3">
      <c r="A5" s="88"/>
      <c r="B5" s="82" t="s">
        <v>22</v>
      </c>
      <c r="C5" s="48">
        <v>1</v>
      </c>
      <c r="D5" s="49" t="s">
        <v>42</v>
      </c>
      <c r="E5" s="39">
        <v>60</v>
      </c>
      <c r="F5" s="64">
        <f>12.31</f>
        <v>12.31</v>
      </c>
      <c r="G5" s="6">
        <v>24</v>
      </c>
      <c r="H5" s="6">
        <v>1.86</v>
      </c>
      <c r="I5" s="6">
        <v>0.12</v>
      </c>
      <c r="J5" s="7">
        <v>3.9</v>
      </c>
    </row>
    <row r="6" spans="1:12" ht="15.6" x14ac:dyDescent="0.3">
      <c r="A6" s="88"/>
      <c r="B6" s="83" t="s">
        <v>22</v>
      </c>
      <c r="C6" s="48" t="s">
        <v>20</v>
      </c>
      <c r="D6" s="49" t="s">
        <v>51</v>
      </c>
      <c r="E6" s="39">
        <v>40</v>
      </c>
      <c r="F6" s="64">
        <f>313.92*0.04</f>
        <v>12.556800000000001</v>
      </c>
      <c r="G6" s="6">
        <v>96</v>
      </c>
      <c r="H6" s="6">
        <v>3.04</v>
      </c>
      <c r="I6" s="6">
        <v>0.32</v>
      </c>
      <c r="J6" s="7">
        <v>19.440000000000001</v>
      </c>
    </row>
    <row r="7" spans="1:12" ht="15.6" x14ac:dyDescent="0.3">
      <c r="A7" s="88"/>
      <c r="B7" s="84" t="s">
        <v>11</v>
      </c>
      <c r="C7" s="48">
        <v>57</v>
      </c>
      <c r="D7" s="49" t="s">
        <v>43</v>
      </c>
      <c r="E7" s="39">
        <v>200</v>
      </c>
      <c r="F7" s="64">
        <v>1.29</v>
      </c>
      <c r="G7" s="6">
        <v>41</v>
      </c>
      <c r="H7" s="6">
        <v>0</v>
      </c>
      <c r="I7" s="6">
        <v>0</v>
      </c>
      <c r="J7" s="7">
        <v>10.01</v>
      </c>
    </row>
    <row r="8" spans="1:12" ht="15.6" x14ac:dyDescent="0.3">
      <c r="A8" s="88"/>
      <c r="B8" s="84" t="s">
        <v>17</v>
      </c>
      <c r="C8" s="48" t="s">
        <v>20</v>
      </c>
      <c r="D8" s="49" t="s">
        <v>33</v>
      </c>
      <c r="E8" s="39">
        <v>22</v>
      </c>
      <c r="F8" s="64">
        <f>45.45*0.022</f>
        <v>0.99990000000000001</v>
      </c>
      <c r="G8" s="6">
        <f>47*22/20</f>
        <v>51.7</v>
      </c>
      <c r="H8" s="6">
        <f>1.52*22/20</f>
        <v>1.6719999999999999</v>
      </c>
      <c r="I8" s="6">
        <f>0.16*22/20</f>
        <v>0.17599999999999999</v>
      </c>
      <c r="J8" s="7">
        <f>9.84*22/20</f>
        <v>10.824</v>
      </c>
    </row>
    <row r="9" spans="1:12" ht="15.6" x14ac:dyDescent="0.3">
      <c r="A9" s="89"/>
      <c r="B9" s="85" t="s">
        <v>16</v>
      </c>
      <c r="C9" s="52" t="s">
        <v>20</v>
      </c>
      <c r="D9" s="53" t="s">
        <v>21</v>
      </c>
      <c r="E9" s="41" t="s">
        <v>58</v>
      </c>
      <c r="F9" s="64">
        <f>43.64*0.022</f>
        <v>0.96007999999999993</v>
      </c>
      <c r="G9" s="6">
        <f>42*22/20</f>
        <v>46.2</v>
      </c>
      <c r="H9" s="6">
        <f>0.98*22/20</f>
        <v>1.0779999999999998</v>
      </c>
      <c r="I9" s="6">
        <f>0.2*22/20</f>
        <v>0.22000000000000003</v>
      </c>
      <c r="J9" s="7">
        <f>8.96*22/20</f>
        <v>9.8559999999999999</v>
      </c>
    </row>
    <row r="10" spans="1:12" ht="16.2" thickBot="1" x14ac:dyDescent="0.35">
      <c r="A10" s="90"/>
      <c r="B10" s="86"/>
      <c r="C10" s="59"/>
      <c r="D10" s="60"/>
      <c r="E10" s="61"/>
      <c r="F10" s="68">
        <f>SUM(F4:F9)</f>
        <v>58.515626960167715</v>
      </c>
      <c r="G10" s="62">
        <f>SUM(G4:G9)</f>
        <v>550.23</v>
      </c>
      <c r="H10" s="62">
        <f>SUM(H4:H9)</f>
        <v>21.349999999999998</v>
      </c>
      <c r="I10" s="62">
        <f>SUM(I4:I9)</f>
        <v>15.756</v>
      </c>
      <c r="J10" s="75">
        <f>SUM(J4:J9)</f>
        <v>79.86999999999999</v>
      </c>
    </row>
    <row r="11" spans="1:12" ht="15.6" x14ac:dyDescent="0.3">
      <c r="A11" s="87" t="s">
        <v>23</v>
      </c>
      <c r="B11" s="82" t="s">
        <v>24</v>
      </c>
      <c r="C11" s="50">
        <v>8</v>
      </c>
      <c r="D11" s="51" t="s">
        <v>44</v>
      </c>
      <c r="E11" s="40">
        <v>200</v>
      </c>
      <c r="F11" s="67">
        <v>15.46</v>
      </c>
      <c r="G11" s="4">
        <v>124</v>
      </c>
      <c r="H11" s="4">
        <v>5.8</v>
      </c>
      <c r="I11" s="4">
        <v>7</v>
      </c>
      <c r="J11" s="5">
        <v>9.4</v>
      </c>
    </row>
    <row r="12" spans="1:12" ht="15.6" x14ac:dyDescent="0.3">
      <c r="A12" s="88"/>
      <c r="B12" s="83" t="s">
        <v>22</v>
      </c>
      <c r="C12" s="52" t="s">
        <v>20</v>
      </c>
      <c r="D12" s="53" t="s">
        <v>59</v>
      </c>
      <c r="E12" s="41" t="s">
        <v>52</v>
      </c>
      <c r="F12" s="64">
        <f>0.156*180</f>
        <v>28.08</v>
      </c>
      <c r="G12" s="6">
        <v>47</v>
      </c>
      <c r="H12" s="6">
        <v>0.4</v>
      </c>
      <c r="I12" s="6">
        <v>0.4</v>
      </c>
      <c r="J12" s="7">
        <v>9.8000000000000007</v>
      </c>
    </row>
    <row r="13" spans="1:12" ht="15.6" x14ac:dyDescent="0.3">
      <c r="A13" s="88"/>
      <c r="B13" s="83" t="s">
        <v>22</v>
      </c>
      <c r="C13" s="54" t="s">
        <v>20</v>
      </c>
      <c r="D13" s="55" t="s">
        <v>33</v>
      </c>
      <c r="E13" s="42" t="s">
        <v>45</v>
      </c>
      <c r="F13" s="70">
        <f>45.45*0.05</f>
        <v>2.2725000000000004</v>
      </c>
      <c r="G13" s="8">
        <v>131</v>
      </c>
      <c r="H13" s="8">
        <v>3.75</v>
      </c>
      <c r="I13" s="8">
        <v>1.45</v>
      </c>
      <c r="J13" s="9">
        <v>25.7</v>
      </c>
    </row>
    <row r="14" spans="1:12" ht="16.2" thickBot="1" x14ac:dyDescent="0.35">
      <c r="A14" s="90"/>
      <c r="B14" s="97"/>
      <c r="C14" s="56"/>
      <c r="D14" s="57"/>
      <c r="E14" s="58"/>
      <c r="F14" s="69">
        <v>43.89</v>
      </c>
      <c r="G14" s="65">
        <f>SUM(G11:G13)</f>
        <v>302</v>
      </c>
      <c r="H14" s="65">
        <f>SUM(H11:H13)</f>
        <v>9.9499999999999993</v>
      </c>
      <c r="I14" s="65">
        <f>SUM(I11:I13)</f>
        <v>8.85</v>
      </c>
      <c r="J14" s="66">
        <f>SUM(J11:J13)</f>
        <v>44.900000000000006</v>
      </c>
    </row>
    <row r="15" spans="1:12" ht="15.6" x14ac:dyDescent="0.3">
      <c r="A15" s="87" t="s">
        <v>12</v>
      </c>
      <c r="B15" s="98" t="s">
        <v>13</v>
      </c>
      <c r="C15" s="50">
        <v>27</v>
      </c>
      <c r="D15" s="51" t="s">
        <v>46</v>
      </c>
      <c r="E15" s="38" t="s">
        <v>35</v>
      </c>
      <c r="F15" s="67">
        <f>11.52*60/60</f>
        <v>11.52</v>
      </c>
      <c r="G15" s="4">
        <v>47</v>
      </c>
      <c r="H15" s="4">
        <v>0.72</v>
      </c>
      <c r="I15" s="4">
        <v>2.82</v>
      </c>
      <c r="J15" s="5">
        <v>4.62</v>
      </c>
    </row>
    <row r="16" spans="1:12" ht="43.2" x14ac:dyDescent="0.3">
      <c r="A16" s="88"/>
      <c r="B16" s="85" t="s">
        <v>14</v>
      </c>
      <c r="C16" s="52">
        <v>22</v>
      </c>
      <c r="D16" s="53" t="s">
        <v>55</v>
      </c>
      <c r="E16" s="41" t="s">
        <v>62</v>
      </c>
      <c r="F16" s="64">
        <f>11.58*240/245+1.84+7.37*0.5</f>
        <v>16.868673469387755</v>
      </c>
      <c r="G16" s="6">
        <v>113</v>
      </c>
      <c r="H16" s="6">
        <v>1.8</v>
      </c>
      <c r="I16" s="6">
        <v>6.09</v>
      </c>
      <c r="J16" s="7">
        <v>9.73</v>
      </c>
      <c r="L16" s="80"/>
    </row>
    <row r="17" spans="1:10" ht="28.8" x14ac:dyDescent="0.3">
      <c r="A17" s="88"/>
      <c r="B17" s="85" t="s">
        <v>15</v>
      </c>
      <c r="C17" s="52">
        <v>51</v>
      </c>
      <c r="D17" s="53" t="s">
        <v>47</v>
      </c>
      <c r="E17" s="41" t="s">
        <v>54</v>
      </c>
      <c r="F17" s="64">
        <f>23.35*45/45+9.2*45/45</f>
        <v>32.549999999999997</v>
      </c>
      <c r="G17" s="6">
        <v>94</v>
      </c>
      <c r="H17" s="6">
        <v>8.67</v>
      </c>
      <c r="I17" s="6">
        <v>4.47</v>
      </c>
      <c r="J17" s="7">
        <v>4.67</v>
      </c>
    </row>
    <row r="18" spans="1:10" ht="15.6" x14ac:dyDescent="0.3">
      <c r="A18" s="88"/>
      <c r="B18" s="85" t="s">
        <v>38</v>
      </c>
      <c r="C18" s="52">
        <v>7</v>
      </c>
      <c r="D18" s="53" t="s">
        <v>39</v>
      </c>
      <c r="E18" s="41" t="s">
        <v>61</v>
      </c>
      <c r="F18" s="64">
        <f>20*170/180</f>
        <v>18.888888888888889</v>
      </c>
      <c r="G18" s="6">
        <f>163*170/180</f>
        <v>153.94444444444446</v>
      </c>
      <c r="H18" s="6">
        <f>3.75*170/180</f>
        <v>3.5416666666666665</v>
      </c>
      <c r="I18" s="6">
        <f>5.47*170/180</f>
        <v>5.1661111111111113</v>
      </c>
      <c r="J18" s="7">
        <f>21.98*170/180</f>
        <v>20.758888888888887</v>
      </c>
    </row>
    <row r="19" spans="1:10" ht="28.8" x14ac:dyDescent="0.3">
      <c r="A19" s="88"/>
      <c r="B19" s="85" t="s">
        <v>24</v>
      </c>
      <c r="C19" s="52">
        <v>17</v>
      </c>
      <c r="D19" s="53" t="s">
        <v>49</v>
      </c>
      <c r="E19" s="41">
        <v>200</v>
      </c>
      <c r="F19" s="64">
        <v>4.29</v>
      </c>
      <c r="G19" s="6">
        <v>80</v>
      </c>
      <c r="H19" s="6">
        <v>0.44</v>
      </c>
      <c r="I19" s="6">
        <v>0</v>
      </c>
      <c r="J19" s="7">
        <v>18.899999999999999</v>
      </c>
    </row>
    <row r="20" spans="1:10" ht="15.6" x14ac:dyDescent="0.3">
      <c r="A20" s="88"/>
      <c r="B20" s="85" t="s">
        <v>17</v>
      </c>
      <c r="C20" s="52" t="s">
        <v>20</v>
      </c>
      <c r="D20" s="53" t="s">
        <v>25</v>
      </c>
      <c r="E20" s="41" t="s">
        <v>60</v>
      </c>
      <c r="F20" s="64">
        <f>36.36*0.046</f>
        <v>1.67256</v>
      </c>
      <c r="G20" s="6">
        <f>117.5*46/50</f>
        <v>108.1</v>
      </c>
      <c r="H20" s="6">
        <f>3.8*46/50</f>
        <v>3.4959999999999996</v>
      </c>
      <c r="I20" s="6">
        <f>0.4*46/50</f>
        <v>0.36800000000000005</v>
      </c>
      <c r="J20" s="7">
        <f>24.6*46/50</f>
        <v>22.632000000000001</v>
      </c>
    </row>
    <row r="21" spans="1:10" ht="15.6" x14ac:dyDescent="0.3">
      <c r="A21" s="88"/>
      <c r="B21" s="92" t="s">
        <v>16</v>
      </c>
      <c r="C21" s="54" t="s">
        <v>20</v>
      </c>
      <c r="D21" s="55" t="s">
        <v>21</v>
      </c>
      <c r="E21" s="42" t="s">
        <v>60</v>
      </c>
      <c r="F21" s="70">
        <v>2</v>
      </c>
      <c r="G21" s="8">
        <f>105*46/50</f>
        <v>96.6</v>
      </c>
      <c r="H21" s="8">
        <f>2.45*46/50</f>
        <v>2.254</v>
      </c>
      <c r="I21" s="8">
        <f>0.5*46/50</f>
        <v>0.46</v>
      </c>
      <c r="J21" s="9">
        <f>22.4*46/50</f>
        <v>20.607999999999997</v>
      </c>
    </row>
    <row r="22" spans="1:10" ht="16.2" thickBot="1" x14ac:dyDescent="0.35">
      <c r="A22" s="99"/>
      <c r="B22" s="97"/>
      <c r="C22" s="34"/>
      <c r="D22" s="34"/>
      <c r="E22" s="45"/>
      <c r="F22" s="71">
        <f>SUM(F15:F21)</f>
        <v>87.790122358276648</v>
      </c>
      <c r="G22" s="35">
        <f>SUM(G15:G21)</f>
        <v>692.6444444444445</v>
      </c>
      <c r="H22" s="35">
        <f>SUM(H15:H21)</f>
        <v>20.921666666666667</v>
      </c>
      <c r="I22" s="35">
        <f>SUM(I15:I21)</f>
        <v>19.374111111111109</v>
      </c>
      <c r="J22" s="36">
        <f>SUM(J15:J21)</f>
        <v>101.91888888888889</v>
      </c>
    </row>
    <row r="23" spans="1:10" ht="16.2" thickBot="1" x14ac:dyDescent="0.35">
      <c r="B23" s="1" t="s">
        <v>28</v>
      </c>
      <c r="E23" s="43"/>
      <c r="F23" s="43"/>
    </row>
    <row r="24" spans="1:10" ht="29.4" thickBot="1" x14ac:dyDescent="0.35">
      <c r="A24" s="101" t="s">
        <v>1</v>
      </c>
      <c r="B24" s="100" t="s">
        <v>2</v>
      </c>
      <c r="C24" s="2" t="s">
        <v>18</v>
      </c>
      <c r="D24" s="2" t="s">
        <v>3</v>
      </c>
      <c r="E24" s="44" t="s">
        <v>19</v>
      </c>
      <c r="F24" s="44" t="s">
        <v>4</v>
      </c>
      <c r="G24" s="13" t="s">
        <v>5</v>
      </c>
      <c r="H24" s="2" t="s">
        <v>6</v>
      </c>
      <c r="I24" s="2" t="s">
        <v>7</v>
      </c>
      <c r="J24" s="3" t="s">
        <v>8</v>
      </c>
    </row>
    <row r="25" spans="1:10" ht="15.6" x14ac:dyDescent="0.3">
      <c r="A25" s="87" t="s">
        <v>9</v>
      </c>
      <c r="B25" s="81" t="s">
        <v>10</v>
      </c>
      <c r="C25" s="46">
        <v>34</v>
      </c>
      <c r="D25" s="47" t="s">
        <v>41</v>
      </c>
      <c r="E25" s="73" t="s">
        <v>53</v>
      </c>
      <c r="F25" s="74">
        <f>50.19*40/67+7.85*160/133</f>
        <v>39.407788127034003</v>
      </c>
      <c r="G25" s="4">
        <v>364.16</v>
      </c>
      <c r="H25" s="4">
        <v>17.13</v>
      </c>
      <c r="I25" s="4">
        <v>18.649999999999999</v>
      </c>
      <c r="J25" s="5">
        <v>32.299999999999997</v>
      </c>
    </row>
    <row r="26" spans="1:10" ht="28.8" x14ac:dyDescent="0.3">
      <c r="A26" s="88"/>
      <c r="B26" s="82" t="s">
        <v>22</v>
      </c>
      <c r="C26" s="48">
        <v>1</v>
      </c>
      <c r="D26" s="49" t="s">
        <v>42</v>
      </c>
      <c r="E26" s="39">
        <v>60</v>
      </c>
      <c r="F26" s="64">
        <f>20.52*60/100</f>
        <v>12.312000000000001</v>
      </c>
      <c r="G26" s="6">
        <v>24</v>
      </c>
      <c r="H26" s="6">
        <v>1.86</v>
      </c>
      <c r="I26" s="6">
        <v>0.12</v>
      </c>
      <c r="J26" s="7">
        <v>3.9</v>
      </c>
    </row>
    <row r="27" spans="1:10" ht="15.6" x14ac:dyDescent="0.3">
      <c r="A27" s="88"/>
      <c r="B27" s="83" t="s">
        <v>22</v>
      </c>
      <c r="C27" s="48" t="s">
        <v>20</v>
      </c>
      <c r="D27" s="49" t="s">
        <v>51</v>
      </c>
      <c r="E27" s="39">
        <v>40</v>
      </c>
      <c r="F27" s="64">
        <f>313.92*0.04</f>
        <v>12.556800000000001</v>
      </c>
      <c r="G27" s="6">
        <v>96</v>
      </c>
      <c r="H27" s="6">
        <v>3.04</v>
      </c>
      <c r="I27" s="6">
        <v>0.32</v>
      </c>
      <c r="J27" s="7">
        <v>19.440000000000001</v>
      </c>
    </row>
    <row r="28" spans="1:10" ht="15.6" x14ac:dyDescent="0.3">
      <c r="A28" s="88"/>
      <c r="B28" s="84" t="s">
        <v>11</v>
      </c>
      <c r="C28" s="48">
        <v>57</v>
      </c>
      <c r="D28" s="49" t="s">
        <v>43</v>
      </c>
      <c r="E28" s="39">
        <v>200</v>
      </c>
      <c r="F28" s="64">
        <v>1.29</v>
      </c>
      <c r="G28" s="6">
        <v>41</v>
      </c>
      <c r="H28" s="6">
        <v>0</v>
      </c>
      <c r="I28" s="6">
        <v>0</v>
      </c>
      <c r="J28" s="7">
        <v>10.01</v>
      </c>
    </row>
    <row r="29" spans="1:10" ht="15.6" x14ac:dyDescent="0.3">
      <c r="A29" s="88"/>
      <c r="B29" s="84" t="s">
        <v>17</v>
      </c>
      <c r="C29" s="48" t="s">
        <v>20</v>
      </c>
      <c r="D29" s="49" t="s">
        <v>33</v>
      </c>
      <c r="E29" s="39">
        <v>30</v>
      </c>
      <c r="F29" s="64">
        <f>45.45*0.03</f>
        <v>1.3634999999999999</v>
      </c>
      <c r="G29" s="6">
        <v>70.5</v>
      </c>
      <c r="H29" s="6">
        <v>2.2799999999999998</v>
      </c>
      <c r="I29" s="6">
        <v>0.24</v>
      </c>
      <c r="J29" s="7">
        <v>14.76</v>
      </c>
    </row>
    <row r="30" spans="1:10" ht="15.6" x14ac:dyDescent="0.3">
      <c r="A30" s="89"/>
      <c r="B30" s="85" t="s">
        <v>16</v>
      </c>
      <c r="C30" s="52" t="s">
        <v>20</v>
      </c>
      <c r="D30" s="53" t="s">
        <v>21</v>
      </c>
      <c r="E30" s="41" t="s">
        <v>36</v>
      </c>
      <c r="F30" s="64">
        <v>1.28</v>
      </c>
      <c r="G30" s="6">
        <v>63</v>
      </c>
      <c r="H30" s="6">
        <v>1.47</v>
      </c>
      <c r="I30" s="6">
        <v>0.3</v>
      </c>
      <c r="J30" s="7">
        <v>13.44</v>
      </c>
    </row>
    <row r="31" spans="1:10" ht="16.2" thickBot="1" x14ac:dyDescent="0.35">
      <c r="A31" s="90"/>
      <c r="B31" s="86"/>
      <c r="C31" s="59"/>
      <c r="D31" s="60"/>
      <c r="E31" s="61"/>
      <c r="F31" s="68">
        <v>68.05</v>
      </c>
      <c r="G31" s="62">
        <f>SUM(G25:G30)</f>
        <v>658.66000000000008</v>
      </c>
      <c r="H31" s="62">
        <f>SUM(H25:H30)</f>
        <v>25.779999999999998</v>
      </c>
      <c r="I31" s="62">
        <f>SUM(I25:I30)</f>
        <v>19.63</v>
      </c>
      <c r="J31" s="75">
        <f>SUM(J25:J30)</f>
        <v>93.850000000000009</v>
      </c>
    </row>
    <row r="32" spans="1:10" ht="15.6" x14ac:dyDescent="0.3">
      <c r="A32" s="87" t="s">
        <v>23</v>
      </c>
      <c r="B32" s="82" t="s">
        <v>24</v>
      </c>
      <c r="C32" s="50">
        <v>8</v>
      </c>
      <c r="D32" s="51" t="s">
        <v>44</v>
      </c>
      <c r="E32" s="40">
        <v>200</v>
      </c>
      <c r="F32" s="67">
        <v>15.46</v>
      </c>
      <c r="G32" s="4">
        <v>124</v>
      </c>
      <c r="H32" s="4">
        <v>5.8</v>
      </c>
      <c r="I32" s="4">
        <v>7</v>
      </c>
      <c r="J32" s="5">
        <v>9.4</v>
      </c>
    </row>
    <row r="33" spans="1:12" ht="15" customHeight="1" x14ac:dyDescent="0.3">
      <c r="A33" s="88"/>
      <c r="B33" s="83" t="s">
        <v>22</v>
      </c>
      <c r="C33" s="52" t="s">
        <v>20</v>
      </c>
      <c r="D33" s="53" t="s">
        <v>59</v>
      </c>
      <c r="E33" s="41" t="s">
        <v>48</v>
      </c>
      <c r="F33" s="64">
        <f>0.18*180</f>
        <v>32.4</v>
      </c>
      <c r="G33" s="6">
        <v>47</v>
      </c>
      <c r="H33" s="6">
        <v>0.4</v>
      </c>
      <c r="I33" s="6">
        <v>0.4</v>
      </c>
      <c r="J33" s="7">
        <v>9.8000000000000007</v>
      </c>
    </row>
    <row r="34" spans="1:12" ht="15" customHeight="1" x14ac:dyDescent="0.3">
      <c r="A34" s="88"/>
      <c r="B34" s="83" t="s">
        <v>22</v>
      </c>
      <c r="C34" s="54" t="s">
        <v>20</v>
      </c>
      <c r="D34" s="55" t="s">
        <v>33</v>
      </c>
      <c r="E34" s="42" t="s">
        <v>50</v>
      </c>
      <c r="F34" s="70">
        <f>45.45*0.08</f>
        <v>3.6360000000000001</v>
      </c>
      <c r="G34" s="8">
        <v>209.6</v>
      </c>
      <c r="H34" s="8">
        <v>6</v>
      </c>
      <c r="I34" s="8">
        <v>2.3199999999999998</v>
      </c>
      <c r="J34" s="9">
        <v>41.12</v>
      </c>
    </row>
    <row r="35" spans="1:12" ht="16.2" thickBot="1" x14ac:dyDescent="0.35">
      <c r="A35" s="90"/>
      <c r="B35" s="97"/>
      <c r="C35" s="56"/>
      <c r="D35" s="57"/>
      <c r="E35" s="58"/>
      <c r="F35" s="69">
        <v>51.03</v>
      </c>
      <c r="G35" s="65">
        <f>SUM(G32:G34)</f>
        <v>380.6</v>
      </c>
      <c r="H35" s="65">
        <f>SUM(H32:H34)</f>
        <v>12.2</v>
      </c>
      <c r="I35" s="65">
        <f>SUM(I32:I34)</f>
        <v>9.7200000000000006</v>
      </c>
      <c r="J35" s="66">
        <f>SUM(J32:J34)</f>
        <v>60.32</v>
      </c>
    </row>
    <row r="36" spans="1:12" ht="15.6" x14ac:dyDescent="0.3">
      <c r="A36" s="87" t="s">
        <v>12</v>
      </c>
      <c r="B36" s="98" t="s">
        <v>13</v>
      </c>
      <c r="C36" s="50">
        <v>27</v>
      </c>
      <c r="D36" s="51" t="s">
        <v>46</v>
      </c>
      <c r="E36" s="38" t="s">
        <v>40</v>
      </c>
      <c r="F36" s="67">
        <f>19.2*90/100</f>
        <v>17.28</v>
      </c>
      <c r="G36" s="4">
        <v>78.33</v>
      </c>
      <c r="H36" s="4">
        <v>1.2</v>
      </c>
      <c r="I36" s="4">
        <v>4.7</v>
      </c>
      <c r="J36" s="5">
        <v>7.7</v>
      </c>
    </row>
    <row r="37" spans="1:12" ht="43.2" x14ac:dyDescent="0.3">
      <c r="A37" s="88"/>
      <c r="B37" s="85" t="s">
        <v>14</v>
      </c>
      <c r="C37" s="52">
        <v>22</v>
      </c>
      <c r="D37" s="53" t="s">
        <v>55</v>
      </c>
      <c r="E37" s="41" t="s">
        <v>62</v>
      </c>
      <c r="F37" s="64">
        <f>11.58*240/245+1.84+7.37*0.5</f>
        <v>16.868673469387755</v>
      </c>
      <c r="G37" s="6">
        <v>113</v>
      </c>
      <c r="H37" s="6">
        <v>1.8</v>
      </c>
      <c r="I37" s="6">
        <v>6.09</v>
      </c>
      <c r="J37" s="7">
        <v>9.73</v>
      </c>
    </row>
    <row r="38" spans="1:12" ht="28.8" x14ac:dyDescent="0.3">
      <c r="A38" s="88"/>
      <c r="B38" s="85" t="s">
        <v>15</v>
      </c>
      <c r="C38" s="52">
        <v>51</v>
      </c>
      <c r="D38" s="53" t="s">
        <v>47</v>
      </c>
      <c r="E38" s="41" t="s">
        <v>63</v>
      </c>
      <c r="F38" s="64">
        <f>25.81*50/50+10.73*50/50</f>
        <v>36.54</v>
      </c>
      <c r="G38" s="6">
        <v>104.44</v>
      </c>
      <c r="H38" s="6">
        <v>9.6300000000000008</v>
      </c>
      <c r="I38" s="6">
        <v>4.97</v>
      </c>
      <c r="J38" s="7">
        <v>5.19</v>
      </c>
      <c r="L38" s="80"/>
    </row>
    <row r="39" spans="1:12" ht="15.6" x14ac:dyDescent="0.3">
      <c r="A39" s="88"/>
      <c r="B39" s="85" t="s">
        <v>38</v>
      </c>
      <c r="C39" s="52">
        <v>7</v>
      </c>
      <c r="D39" s="53" t="s">
        <v>39</v>
      </c>
      <c r="E39" s="41" t="s">
        <v>32</v>
      </c>
      <c r="F39" s="64">
        <v>22.53</v>
      </c>
      <c r="G39" s="6">
        <v>181.11</v>
      </c>
      <c r="H39" s="6">
        <v>4.17</v>
      </c>
      <c r="I39" s="6">
        <v>6.08</v>
      </c>
      <c r="J39" s="7">
        <v>24.42</v>
      </c>
    </row>
    <row r="40" spans="1:12" ht="28.8" x14ac:dyDescent="0.3">
      <c r="A40" s="88"/>
      <c r="B40" s="85" t="s">
        <v>24</v>
      </c>
      <c r="C40" s="52">
        <v>17</v>
      </c>
      <c r="D40" s="53" t="s">
        <v>49</v>
      </c>
      <c r="E40" s="41">
        <v>200</v>
      </c>
      <c r="F40" s="64">
        <v>4.29</v>
      </c>
      <c r="G40" s="6">
        <v>80</v>
      </c>
      <c r="H40" s="6">
        <v>0.44</v>
      </c>
      <c r="I40" s="6">
        <v>0</v>
      </c>
      <c r="J40" s="7">
        <v>18.899999999999999</v>
      </c>
    </row>
    <row r="41" spans="1:12" ht="15.6" x14ac:dyDescent="0.3">
      <c r="A41" s="88"/>
      <c r="B41" s="85" t="s">
        <v>17</v>
      </c>
      <c r="C41" s="52" t="s">
        <v>20</v>
      </c>
      <c r="D41" s="53" t="s">
        <v>25</v>
      </c>
      <c r="E41" s="41" t="s">
        <v>64</v>
      </c>
      <c r="F41" s="64">
        <f>36.36*0.057</f>
        <v>2.0725199999999999</v>
      </c>
      <c r="G41" s="6">
        <v>141</v>
      </c>
      <c r="H41" s="6">
        <v>4.5599999999999996</v>
      </c>
      <c r="I41" s="6">
        <v>0.48</v>
      </c>
      <c r="J41" s="7">
        <v>29.52</v>
      </c>
    </row>
    <row r="42" spans="1:12" ht="15.6" x14ac:dyDescent="0.3">
      <c r="A42" s="88"/>
      <c r="B42" s="92" t="s">
        <v>16</v>
      </c>
      <c r="C42" s="54" t="s">
        <v>20</v>
      </c>
      <c r="D42" s="55" t="s">
        <v>21</v>
      </c>
      <c r="E42" s="42" t="s">
        <v>64</v>
      </c>
      <c r="F42" s="70">
        <f>43.64*0.057</f>
        <v>2.4874800000000001</v>
      </c>
      <c r="G42" s="8">
        <v>126</v>
      </c>
      <c r="H42" s="8">
        <v>2.94</v>
      </c>
      <c r="I42" s="8">
        <v>0.6</v>
      </c>
      <c r="J42" s="9">
        <v>26.88</v>
      </c>
    </row>
    <row r="43" spans="1:12" ht="16.2" thickBot="1" x14ac:dyDescent="0.35">
      <c r="A43" s="99"/>
      <c r="B43" s="97"/>
      <c r="C43" s="34"/>
      <c r="D43" s="34"/>
      <c r="E43" s="45"/>
      <c r="F43" s="71">
        <v>102.06</v>
      </c>
      <c r="G43" s="35">
        <f>SUM(G36:G42)</f>
        <v>823.88</v>
      </c>
      <c r="H43" s="35">
        <f>SUM(H36:H42)</f>
        <v>24.740000000000002</v>
      </c>
      <c r="I43" s="35">
        <f>SUM(I36:I42)</f>
        <v>22.919999999999998</v>
      </c>
      <c r="J43" s="36">
        <f>SUM(J36:J42)</f>
        <v>122.33999999999999</v>
      </c>
    </row>
    <row r="44" spans="1:12" s="19" customFormat="1" x14ac:dyDescent="0.3">
      <c r="A44" s="18" t="s">
        <v>29</v>
      </c>
      <c r="B44"/>
      <c r="C44"/>
      <c r="D44"/>
      <c r="E44" s="20"/>
      <c r="F44" s="20"/>
    </row>
    <row r="45" spans="1:12" x14ac:dyDescent="0.3">
      <c r="A45" s="18" t="s">
        <v>30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94" orientation="portrait" r:id="rId1"/>
  <ignoredErrors>
    <ignoredError sqref="J10 G10 F17 F5 F26 F3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opLeftCell="A3" zoomScale="115" zoomScaleNormal="115" workbookViewId="0">
      <selection activeCell="A19" sqref="A19"/>
    </sheetView>
  </sheetViews>
  <sheetFormatPr defaultRowHeight="14.4" x14ac:dyDescent="0.3"/>
  <cols>
    <col min="1" max="1" width="11.77734375" style="19" bestFit="1" customWidth="1"/>
    <col min="2" max="2" width="10" style="19" customWidth="1"/>
    <col min="3" max="3" width="5.5546875" style="19" customWidth="1"/>
    <col min="4" max="4" width="24.6640625" style="19" customWidth="1"/>
    <col min="5" max="5" width="10.21875" style="20" customWidth="1"/>
    <col min="6" max="6" width="7.109375" style="20" bestFit="1" customWidth="1"/>
    <col min="7" max="7" width="7.6640625" style="19" customWidth="1"/>
    <col min="8" max="8" width="6.109375" style="19" bestFit="1" customWidth="1"/>
    <col min="9" max="9" width="6.5546875" style="19" customWidth="1"/>
    <col min="10" max="10" width="8.5546875" style="19" customWidth="1"/>
    <col min="11" max="16384" width="8.88671875" style="19"/>
  </cols>
  <sheetData>
    <row r="1" spans="1:10" ht="28.8" customHeight="1" x14ac:dyDescent="0.3">
      <c r="A1" s="19" t="s">
        <v>0</v>
      </c>
      <c r="B1" s="109" t="s">
        <v>69</v>
      </c>
      <c r="C1" s="110"/>
      <c r="D1" s="111"/>
      <c r="E1" s="20" t="s">
        <v>27</v>
      </c>
      <c r="F1" s="21"/>
      <c r="G1" s="112" t="s">
        <v>37</v>
      </c>
      <c r="H1" s="113"/>
      <c r="I1" s="114">
        <v>45194</v>
      </c>
      <c r="J1" s="114"/>
    </row>
    <row r="2" spans="1:10" ht="15" thickBot="1" x14ac:dyDescent="0.35">
      <c r="B2" s="22" t="s">
        <v>31</v>
      </c>
    </row>
    <row r="3" spans="1:10" s="28" customFormat="1" ht="29.4" thickBot="1" x14ac:dyDescent="0.35">
      <c r="A3" s="23" t="s">
        <v>1</v>
      </c>
      <c r="B3" s="24" t="s">
        <v>2</v>
      </c>
      <c r="C3" s="24" t="s">
        <v>18</v>
      </c>
      <c r="D3" s="24" t="s">
        <v>3</v>
      </c>
      <c r="E3" s="25" t="s">
        <v>19</v>
      </c>
      <c r="F3" s="25" t="s">
        <v>4</v>
      </c>
      <c r="G3" s="26" t="s">
        <v>5</v>
      </c>
      <c r="H3" s="24" t="s">
        <v>6</v>
      </c>
      <c r="I3" s="24" t="s">
        <v>7</v>
      </c>
      <c r="J3" s="27" t="s">
        <v>8</v>
      </c>
    </row>
    <row r="4" spans="1:10" ht="15.6" x14ac:dyDescent="0.3">
      <c r="A4" s="87" t="s">
        <v>9</v>
      </c>
      <c r="B4" s="81" t="s">
        <v>10</v>
      </c>
      <c r="C4" s="46">
        <v>34</v>
      </c>
      <c r="D4" s="47" t="s">
        <v>41</v>
      </c>
      <c r="E4" s="73" t="s">
        <v>57</v>
      </c>
      <c r="F4" s="74">
        <f>54.13*30/54+8.44*130/106</f>
        <v>40.423165618448635</v>
      </c>
      <c r="G4" s="4">
        <v>291.33</v>
      </c>
      <c r="H4" s="4">
        <v>13.7</v>
      </c>
      <c r="I4" s="4">
        <v>14.92</v>
      </c>
      <c r="J4" s="5">
        <v>25.84</v>
      </c>
    </row>
    <row r="5" spans="1:10" ht="28.8" x14ac:dyDescent="0.3">
      <c r="A5" s="88"/>
      <c r="B5" s="82" t="s">
        <v>11</v>
      </c>
      <c r="C5" s="48">
        <v>1</v>
      </c>
      <c r="D5" s="49" t="s">
        <v>42</v>
      </c>
      <c r="E5" s="39">
        <v>60</v>
      </c>
      <c r="F5" s="64">
        <f>16.37*60/60</f>
        <v>16.37</v>
      </c>
      <c r="G5" s="6">
        <v>24</v>
      </c>
      <c r="H5" s="6">
        <v>1.86</v>
      </c>
      <c r="I5" s="6">
        <v>0.12</v>
      </c>
      <c r="J5" s="7">
        <v>3.9</v>
      </c>
    </row>
    <row r="6" spans="1:10" ht="15.6" x14ac:dyDescent="0.3">
      <c r="A6" s="88"/>
      <c r="B6" s="83" t="s">
        <v>22</v>
      </c>
      <c r="C6" s="48" t="s">
        <v>20</v>
      </c>
      <c r="D6" s="49" t="s">
        <v>51</v>
      </c>
      <c r="E6" s="39">
        <v>40</v>
      </c>
      <c r="F6" s="64">
        <f>313.92*0.04*1.33</f>
        <v>16.700544000000001</v>
      </c>
      <c r="G6" s="6">
        <v>96</v>
      </c>
      <c r="H6" s="6">
        <v>3.04</v>
      </c>
      <c r="I6" s="6">
        <v>0.32</v>
      </c>
      <c r="J6" s="7">
        <v>19.440000000000001</v>
      </c>
    </row>
    <row r="7" spans="1:10" ht="15.6" x14ac:dyDescent="0.3">
      <c r="A7" s="88"/>
      <c r="B7" s="84" t="s">
        <v>11</v>
      </c>
      <c r="C7" s="48">
        <v>57</v>
      </c>
      <c r="D7" s="49" t="s">
        <v>43</v>
      </c>
      <c r="E7" s="39">
        <v>200</v>
      </c>
      <c r="F7" s="64">
        <v>1.71</v>
      </c>
      <c r="G7" s="6">
        <v>41</v>
      </c>
      <c r="H7" s="6">
        <v>0</v>
      </c>
      <c r="I7" s="6">
        <v>0</v>
      </c>
      <c r="J7" s="7">
        <v>10.01</v>
      </c>
    </row>
    <row r="8" spans="1:10" ht="15.6" x14ac:dyDescent="0.3">
      <c r="A8" s="88"/>
      <c r="B8" s="84" t="s">
        <v>17</v>
      </c>
      <c r="C8" s="48" t="s">
        <v>20</v>
      </c>
      <c r="D8" s="49" t="s">
        <v>33</v>
      </c>
      <c r="E8" s="39">
        <v>29</v>
      </c>
      <c r="F8" s="64">
        <f>54.54*0.029</f>
        <v>1.5816600000000001</v>
      </c>
      <c r="G8" s="6">
        <f>47*29/20</f>
        <v>68.150000000000006</v>
      </c>
      <c r="H8" s="6">
        <f>1.52*29/20</f>
        <v>2.2039999999999997</v>
      </c>
      <c r="I8" s="6">
        <f>0.16*29/20</f>
        <v>0.23199999999999998</v>
      </c>
      <c r="J8" s="7">
        <f>9.84*29/20</f>
        <v>14.268000000000001</v>
      </c>
    </row>
    <row r="9" spans="1:10" ht="15.6" x14ac:dyDescent="0.3">
      <c r="A9" s="89"/>
      <c r="B9" s="85" t="s">
        <v>16</v>
      </c>
      <c r="C9" s="52" t="s">
        <v>20</v>
      </c>
      <c r="D9" s="53" t="s">
        <v>21</v>
      </c>
      <c r="E9" s="41" t="s">
        <v>65</v>
      </c>
      <c r="F9" s="64">
        <v>1.21</v>
      </c>
      <c r="G9" s="6">
        <f>42*28/20</f>
        <v>58.8</v>
      </c>
      <c r="H9" s="6">
        <f>0.98*28/20</f>
        <v>1.3719999999999999</v>
      </c>
      <c r="I9" s="6">
        <f>0.2*28/20</f>
        <v>0.28000000000000003</v>
      </c>
      <c r="J9" s="7">
        <f>8.96*28/20</f>
        <v>12.544</v>
      </c>
    </row>
    <row r="10" spans="1:10" ht="16.2" thickBot="1" x14ac:dyDescent="0.35">
      <c r="A10" s="90"/>
      <c r="B10" s="86"/>
      <c r="C10" s="59"/>
      <c r="D10" s="60"/>
      <c r="E10" s="61"/>
      <c r="F10" s="68">
        <f>SUM(F4:F9)</f>
        <v>77.99536961844862</v>
      </c>
      <c r="G10" s="62">
        <f>SUM(G4:G9)</f>
        <v>579.28</v>
      </c>
      <c r="H10" s="62">
        <f>SUM(H4:H9)</f>
        <v>22.175999999999998</v>
      </c>
      <c r="I10" s="62">
        <f>SUM(I4:I9)</f>
        <v>15.871999999999998</v>
      </c>
      <c r="J10" s="75">
        <f>SUM(J4:J9)</f>
        <v>86.001999999999995</v>
      </c>
    </row>
    <row r="11" spans="1:10" ht="28.8" x14ac:dyDescent="0.3">
      <c r="A11" s="94"/>
      <c r="B11" s="81" t="s">
        <v>22</v>
      </c>
      <c r="C11" s="46">
        <v>1</v>
      </c>
      <c r="D11" s="47" t="s">
        <v>42</v>
      </c>
      <c r="E11" s="79">
        <v>65</v>
      </c>
      <c r="F11" s="74">
        <f>16.37*65/60</f>
        <v>17.734166666666667</v>
      </c>
      <c r="G11" s="4">
        <v>24</v>
      </c>
      <c r="H11" s="4">
        <v>1.86</v>
      </c>
      <c r="I11" s="4">
        <v>0.12</v>
      </c>
      <c r="J11" s="5">
        <v>3.9</v>
      </c>
    </row>
    <row r="12" spans="1:10" ht="15.6" x14ac:dyDescent="0.3">
      <c r="A12" s="95"/>
      <c r="B12" s="91" t="s">
        <v>10</v>
      </c>
      <c r="C12" s="77">
        <v>34</v>
      </c>
      <c r="D12" s="78" t="s">
        <v>41</v>
      </c>
      <c r="E12" s="41" t="s">
        <v>66</v>
      </c>
      <c r="F12" s="64">
        <f>54.13*40/54+8.44*160/106</f>
        <v>52.835918937805737</v>
      </c>
      <c r="G12" s="10">
        <v>291.33</v>
      </c>
      <c r="H12" s="10">
        <v>13.7</v>
      </c>
      <c r="I12" s="10">
        <v>14.92</v>
      </c>
      <c r="J12" s="33">
        <v>25.84</v>
      </c>
    </row>
    <row r="13" spans="1:10" ht="15.6" x14ac:dyDescent="0.3">
      <c r="A13" s="95"/>
      <c r="B13" s="85" t="s">
        <v>24</v>
      </c>
      <c r="C13" s="52">
        <v>25</v>
      </c>
      <c r="D13" s="53" t="s">
        <v>34</v>
      </c>
      <c r="E13" s="41" t="s">
        <v>32</v>
      </c>
      <c r="F13" s="64">
        <v>17.82</v>
      </c>
      <c r="G13" s="6">
        <v>136</v>
      </c>
      <c r="H13" s="6">
        <v>0.6</v>
      </c>
      <c r="I13" s="6">
        <v>0</v>
      </c>
      <c r="J13" s="7">
        <v>33</v>
      </c>
    </row>
    <row r="14" spans="1:10" ht="15.6" x14ac:dyDescent="0.3">
      <c r="A14" s="95"/>
      <c r="B14" s="83" t="s">
        <v>22</v>
      </c>
      <c r="C14" s="48" t="s">
        <v>20</v>
      </c>
      <c r="D14" s="49" t="s">
        <v>51</v>
      </c>
      <c r="E14" s="39">
        <v>20</v>
      </c>
      <c r="F14" s="64">
        <f>313.92*0.02*1.33</f>
        <v>8.3502720000000004</v>
      </c>
      <c r="G14" s="6">
        <v>96</v>
      </c>
      <c r="H14" s="6">
        <v>3.04</v>
      </c>
      <c r="I14" s="6">
        <v>0.32</v>
      </c>
      <c r="J14" s="7">
        <v>19.440000000000001</v>
      </c>
    </row>
    <row r="15" spans="1:10" ht="16.8" customHeight="1" x14ac:dyDescent="0.3">
      <c r="A15" s="95"/>
      <c r="B15" s="85" t="s">
        <v>17</v>
      </c>
      <c r="C15" s="52" t="s">
        <v>20</v>
      </c>
      <c r="D15" s="53" t="s">
        <v>25</v>
      </c>
      <c r="E15" s="41" t="s">
        <v>67</v>
      </c>
      <c r="F15" s="64">
        <f>43.63*0.034</f>
        <v>1.4834200000000002</v>
      </c>
      <c r="G15" s="6">
        <f>70.5*34/30</f>
        <v>79.900000000000006</v>
      </c>
      <c r="H15" s="6">
        <f>2.28*34/30</f>
        <v>2.5840000000000001</v>
      </c>
      <c r="I15" s="6">
        <f>0.24*34/30</f>
        <v>0.27200000000000002</v>
      </c>
      <c r="J15" s="7">
        <f>14.76*34/30</f>
        <v>16.727999999999998</v>
      </c>
    </row>
    <row r="16" spans="1:10" ht="16.8" customHeight="1" x14ac:dyDescent="0.3">
      <c r="A16" s="95"/>
      <c r="B16" s="92" t="s">
        <v>16</v>
      </c>
      <c r="C16" s="54" t="s">
        <v>20</v>
      </c>
      <c r="D16" s="55" t="s">
        <v>21</v>
      </c>
      <c r="E16" s="42" t="s">
        <v>67</v>
      </c>
      <c r="F16" s="70">
        <f>52.37*0.034</f>
        <v>1.7805800000000001</v>
      </c>
      <c r="G16" s="6">
        <f>63*34/30</f>
        <v>71.400000000000006</v>
      </c>
      <c r="H16" s="6">
        <f>1.47*34/30</f>
        <v>1.6659999999999999</v>
      </c>
      <c r="I16" s="6">
        <f>0.3*34/30</f>
        <v>0.33999999999999997</v>
      </c>
      <c r="J16" s="7">
        <f>13.44*34/30</f>
        <v>15.231999999999999</v>
      </c>
    </row>
    <row r="17" spans="1:10" ht="16.2" thickBot="1" x14ac:dyDescent="0.35">
      <c r="A17" s="95"/>
      <c r="B17" s="93"/>
      <c r="C17" s="29"/>
      <c r="D17" s="29"/>
      <c r="E17" s="63"/>
      <c r="F17" s="72">
        <f>SUM(F11:F16)</f>
        <v>100.0043576044724</v>
      </c>
      <c r="G17" s="31">
        <f>SUM(G11:G16)</f>
        <v>698.62999999999988</v>
      </c>
      <c r="H17" s="31">
        <f>SUM(H11:H13)</f>
        <v>16.16</v>
      </c>
      <c r="I17" s="31">
        <f>SUM(I11:I13)</f>
        <v>15.04</v>
      </c>
      <c r="J17" s="32">
        <f>SUM(J11:J13)</f>
        <v>62.739999999999995</v>
      </c>
    </row>
    <row r="18" spans="1:10" ht="28.8" x14ac:dyDescent="0.3">
      <c r="A18" s="95"/>
      <c r="B18" s="81" t="s">
        <v>22</v>
      </c>
      <c r="C18" s="46">
        <v>1</v>
      </c>
      <c r="D18" s="47" t="s">
        <v>42</v>
      </c>
      <c r="E18" s="39">
        <v>80</v>
      </c>
      <c r="F18" s="64">
        <f>16.37*80/60</f>
        <v>21.826666666666668</v>
      </c>
      <c r="G18" s="4">
        <f>24*80/60</f>
        <v>32</v>
      </c>
      <c r="H18" s="4">
        <f>1.86*80/60</f>
        <v>2.48</v>
      </c>
      <c r="I18" s="4">
        <f>0.12*80/60</f>
        <v>0.16</v>
      </c>
      <c r="J18" s="5">
        <f>3.9*80/60</f>
        <v>5.2</v>
      </c>
    </row>
    <row r="19" spans="1:10" ht="43.2" x14ac:dyDescent="0.3">
      <c r="A19" s="95"/>
      <c r="B19" s="85" t="s">
        <v>14</v>
      </c>
      <c r="C19" s="52">
        <v>22</v>
      </c>
      <c r="D19" s="53" t="s">
        <v>55</v>
      </c>
      <c r="E19" s="41" t="s">
        <v>56</v>
      </c>
      <c r="F19" s="64">
        <f>17.84*235/245+2.45+9.8</f>
        <v>29.361836734693878</v>
      </c>
      <c r="G19" s="6">
        <v>113</v>
      </c>
      <c r="H19" s="6">
        <v>1.8</v>
      </c>
      <c r="I19" s="6">
        <v>6.09</v>
      </c>
      <c r="J19" s="7">
        <v>9.73</v>
      </c>
    </row>
    <row r="20" spans="1:10" ht="15.6" x14ac:dyDescent="0.3">
      <c r="A20" s="95"/>
      <c r="B20" s="91" t="s">
        <v>10</v>
      </c>
      <c r="C20" s="77">
        <v>34</v>
      </c>
      <c r="D20" s="78" t="s">
        <v>41</v>
      </c>
      <c r="E20" s="41" t="s">
        <v>66</v>
      </c>
      <c r="F20" s="64">
        <f>54.13*40/54+8.44*160/106</f>
        <v>52.835918937805737</v>
      </c>
      <c r="G20" s="10">
        <v>291.33</v>
      </c>
      <c r="H20" s="10">
        <v>13.7</v>
      </c>
      <c r="I20" s="10">
        <v>14.92</v>
      </c>
      <c r="J20" s="33">
        <v>25.84</v>
      </c>
    </row>
    <row r="21" spans="1:10" ht="15.6" x14ac:dyDescent="0.3">
      <c r="A21" s="95"/>
      <c r="B21" s="85" t="s">
        <v>24</v>
      </c>
      <c r="C21" s="52">
        <v>25</v>
      </c>
      <c r="D21" s="53" t="s">
        <v>34</v>
      </c>
      <c r="E21" s="41" t="s">
        <v>32</v>
      </c>
      <c r="F21" s="64">
        <v>17.82</v>
      </c>
      <c r="G21" s="6">
        <v>136</v>
      </c>
      <c r="H21" s="6">
        <v>0.6</v>
      </c>
      <c r="I21" s="6">
        <v>0</v>
      </c>
      <c r="J21" s="7">
        <v>33</v>
      </c>
    </row>
    <row r="22" spans="1:10" ht="14.4" customHeight="1" x14ac:dyDescent="0.3">
      <c r="A22" s="95"/>
      <c r="B22" s="85" t="s">
        <v>17</v>
      </c>
      <c r="C22" s="52" t="s">
        <v>20</v>
      </c>
      <c r="D22" s="53" t="s">
        <v>25</v>
      </c>
      <c r="E22" s="41" t="s">
        <v>68</v>
      </c>
      <c r="F22" s="64">
        <f>43.63*0.033</f>
        <v>1.4397900000000001</v>
      </c>
      <c r="G22" s="6">
        <f>70.5*33/30</f>
        <v>77.55</v>
      </c>
      <c r="H22" s="6">
        <f>2.28*33/30</f>
        <v>2.508</v>
      </c>
      <c r="I22" s="6">
        <f>0.24*33/30</f>
        <v>0.26400000000000001</v>
      </c>
      <c r="J22" s="7">
        <f>14.76*33/30</f>
        <v>16.236000000000001</v>
      </c>
    </row>
    <row r="23" spans="1:10" ht="15.6" x14ac:dyDescent="0.3">
      <c r="A23" s="95"/>
      <c r="B23" s="92" t="s">
        <v>16</v>
      </c>
      <c r="C23" s="54" t="s">
        <v>20</v>
      </c>
      <c r="D23" s="55" t="s">
        <v>21</v>
      </c>
      <c r="E23" s="42" t="s">
        <v>68</v>
      </c>
      <c r="F23" s="70">
        <v>1.72</v>
      </c>
      <c r="G23" s="6">
        <f>63*33/30</f>
        <v>69.3</v>
      </c>
      <c r="H23" s="6">
        <f>1.47*33/30</f>
        <v>1.617</v>
      </c>
      <c r="I23" s="6">
        <f>0.3*33/30</f>
        <v>0.33</v>
      </c>
      <c r="J23" s="7">
        <f>13.44*33/30</f>
        <v>14.783999999999999</v>
      </c>
    </row>
    <row r="24" spans="1:10" ht="16.2" thickBot="1" x14ac:dyDescent="0.35">
      <c r="A24" s="96"/>
      <c r="B24" s="93"/>
      <c r="C24" s="29"/>
      <c r="D24" s="29"/>
      <c r="E24" s="30"/>
      <c r="F24" s="76">
        <f>SUM(F18:F23)</f>
        <v>125.00421233916627</v>
      </c>
      <c r="G24" s="31">
        <f>SUM(G18:G23)</f>
        <v>719.17999999999984</v>
      </c>
      <c r="H24" s="31">
        <f>SUM(H19:H23)</f>
        <v>20.225000000000001</v>
      </c>
      <c r="I24" s="31">
        <f>SUM(I19:I23)</f>
        <v>21.603999999999996</v>
      </c>
      <c r="J24" s="32">
        <f>SUM(J19:J23)</f>
        <v>99.59</v>
      </c>
    </row>
    <row r="25" spans="1:10" customFormat="1" x14ac:dyDescent="0.3">
      <c r="E25" s="12"/>
      <c r="F25" s="12"/>
    </row>
    <row r="26" spans="1:10" customFormat="1" x14ac:dyDescent="0.3">
      <c r="A26" s="18" t="s">
        <v>29</v>
      </c>
      <c r="E26" s="12"/>
      <c r="F26" s="12"/>
    </row>
    <row r="27" spans="1:10" customFormat="1" x14ac:dyDescent="0.3">
      <c r="E27" s="12"/>
      <c r="F27" s="12"/>
    </row>
    <row r="28" spans="1:10" customFormat="1" x14ac:dyDescent="0.3">
      <c r="A28" s="18" t="s">
        <v>30</v>
      </c>
      <c r="E28" s="12"/>
      <c r="F28" s="12"/>
    </row>
    <row r="29" spans="1:10" customFormat="1" x14ac:dyDescent="0.3">
      <c r="E29" s="12"/>
      <c r="F29" s="12"/>
    </row>
  </sheetData>
  <mergeCells count="3">
    <mergeCell ref="B1:D1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4:F5 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2022-09-06T06:34:46Z</cp:lastPrinted>
  <dcterms:created xsi:type="dcterms:W3CDTF">2015-06-05T18:19:34Z</dcterms:created>
  <dcterms:modified xsi:type="dcterms:W3CDTF">2023-09-21T08:09:13Z</dcterms:modified>
</cp:coreProperties>
</file>