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/>
  <mc:AlternateContent xmlns:mc="http://schemas.openxmlformats.org/markup-compatibility/2006">
    <mc:Choice Requires="x15">
      <x15ac:absPath xmlns:x15ac="http://schemas.microsoft.com/office/spreadsheetml/2010/11/ac" url="C:\Users\Admin\Desktop\МЕНЮ\Зеледеево\"/>
    </mc:Choice>
  </mc:AlternateContent>
  <xr:revisionPtr revIDLastSave="0" documentId="13_ncr:1_{70A4C227-0438-4B5C-9AF2-D2A0E89AF2D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бесплатно" sheetId="1" r:id="rId1"/>
    <sheet name="платно" sheetId="2" r:id="rId2"/>
  </sheets>
  <calcPr calcId="191029"/>
</workbook>
</file>

<file path=xl/calcChain.xml><?xml version="1.0" encoding="utf-8"?>
<calcChain xmlns="http://schemas.openxmlformats.org/spreadsheetml/2006/main">
  <c r="J21" i="2" l="1"/>
  <c r="I21" i="2"/>
  <c r="H21" i="2"/>
  <c r="G21" i="2"/>
  <c r="J22" i="2"/>
  <c r="I22" i="2"/>
  <c r="H22" i="2"/>
  <c r="G22" i="2"/>
  <c r="F22" i="2"/>
  <c r="F21" i="2"/>
  <c r="J17" i="2"/>
  <c r="I17" i="2"/>
  <c r="H17" i="2"/>
  <c r="G17" i="2"/>
  <c r="F17" i="2"/>
  <c r="J11" i="2"/>
  <c r="I11" i="2"/>
  <c r="H11" i="2"/>
  <c r="G11" i="2"/>
  <c r="F19" i="2"/>
  <c r="F18" i="2"/>
  <c r="J15" i="2"/>
  <c r="I15" i="2"/>
  <c r="H15" i="2"/>
  <c r="G15" i="2"/>
  <c r="J14" i="2"/>
  <c r="I14" i="2"/>
  <c r="H14" i="2"/>
  <c r="G14" i="2"/>
  <c r="F14" i="2"/>
  <c r="F11" i="2"/>
  <c r="F12" i="2"/>
  <c r="F16" i="2" s="1"/>
  <c r="F9" i="2"/>
  <c r="F5" i="2"/>
  <c r="F4" i="2"/>
  <c r="J40" i="1"/>
  <c r="I40" i="1"/>
  <c r="H40" i="1"/>
  <c r="G40" i="1"/>
  <c r="J39" i="1"/>
  <c r="I39" i="1"/>
  <c r="H39" i="1"/>
  <c r="G39" i="1"/>
  <c r="F40" i="1"/>
  <c r="F39" i="1"/>
  <c r="F35" i="1"/>
  <c r="F37" i="1"/>
  <c r="F36" i="1"/>
  <c r="F25" i="1"/>
  <c r="F24" i="1"/>
  <c r="J29" i="1"/>
  <c r="I29" i="1"/>
  <c r="H29" i="1"/>
  <c r="G29" i="1"/>
  <c r="J28" i="1"/>
  <c r="I28" i="1"/>
  <c r="H28" i="1"/>
  <c r="G28" i="1"/>
  <c r="F20" i="1"/>
  <c r="F17" i="1"/>
  <c r="F21" i="1" s="1"/>
  <c r="F16" i="1"/>
  <c r="J8" i="1"/>
  <c r="I8" i="1"/>
  <c r="H8" i="1"/>
  <c r="G8" i="1"/>
  <c r="F5" i="1"/>
  <c r="F9" i="1"/>
  <c r="F4" i="1"/>
  <c r="J9" i="2"/>
  <c r="I9" i="2"/>
  <c r="H9" i="2"/>
  <c r="G9" i="2"/>
  <c r="J8" i="2"/>
  <c r="I8" i="2"/>
  <c r="H8" i="2"/>
  <c r="G8" i="2"/>
  <c r="F6" i="2"/>
  <c r="F32" i="1"/>
  <c r="F33" i="1"/>
  <c r="F13" i="1"/>
  <c r="F12" i="1"/>
  <c r="J9" i="1"/>
  <c r="J10" i="1" s="1"/>
  <c r="I9" i="1"/>
  <c r="H9" i="1"/>
  <c r="G9" i="1"/>
  <c r="G10" i="1"/>
  <c r="F29" i="1"/>
  <c r="F26" i="1"/>
  <c r="F6" i="1"/>
  <c r="J34" i="1"/>
  <c r="I34" i="1"/>
  <c r="H34" i="1"/>
  <c r="G34" i="1"/>
  <c r="J14" i="1"/>
  <c r="I14" i="1"/>
  <c r="H14" i="1"/>
  <c r="F23" i="2" l="1"/>
  <c r="F30" i="1"/>
  <c r="F10" i="2"/>
  <c r="I10" i="1"/>
  <c r="H10" i="1"/>
  <c r="F10" i="1"/>
  <c r="G14" i="1" l="1"/>
  <c r="G41" i="1"/>
  <c r="G23" i="2" l="1"/>
  <c r="G10" i="2"/>
  <c r="G30" i="1"/>
  <c r="G16" i="2" l="1"/>
  <c r="J41" i="1"/>
  <c r="H41" i="1"/>
  <c r="I41" i="1"/>
  <c r="J30" i="1"/>
  <c r="I30" i="1"/>
  <c r="H30" i="1"/>
  <c r="H21" i="1"/>
  <c r="J21" i="1"/>
  <c r="I21" i="1"/>
  <c r="G21" i="1"/>
  <c r="H16" i="2" l="1"/>
  <c r="H10" i="2"/>
  <c r="J23" i="2"/>
  <c r="I10" i="2"/>
  <c r="I16" i="2"/>
  <c r="J10" i="2"/>
  <c r="J16" i="2"/>
  <c r="H23" i="2"/>
  <c r="I23" i="2"/>
</calcChain>
</file>

<file path=xl/sharedStrings.xml><?xml version="1.0" encoding="utf-8"?>
<sst xmlns="http://schemas.openxmlformats.org/spreadsheetml/2006/main" count="188" uniqueCount="64">
  <si>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</si>
  <si>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</si>
  <si>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</si>
  <si>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</si>
  <si>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</si>
  <si>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</si>
  <si>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</si>
  <si>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</si>
  <si>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</si>
  <si>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</si>
  <si>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</si>
  <si>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</si>
  <si>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</si>
  <si>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</si>
  <si>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</si>
  <si>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</si>
  <si>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</si>
  <si>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хлеб бел.</t>
  </si>
  <si>
    <t>№ рец.</t>
  </si>
  <si>
    <t>Выход, г</t>
  </si>
  <si>
    <t>гп</t>
  </si>
  <si>
    <t>Хлеб ржаной</t>
  </si>
  <si>
    <t>Полдник</t>
  </si>
  <si>
    <t>напиток</t>
  </si>
  <si>
    <t>Хлеб пшеничный</t>
  </si>
  <si>
    <t>6-10 лет</t>
  </si>
  <si>
    <t>корп</t>
  </si>
  <si>
    <t>11-18 лет</t>
  </si>
  <si>
    <t>Бухгалтер калькулятор _______________________________</t>
  </si>
  <si>
    <t>За наличный расчет</t>
  </si>
  <si>
    <t xml:space="preserve"> </t>
  </si>
  <si>
    <t>Зав.производством __________________________________</t>
  </si>
  <si>
    <t>гарнир</t>
  </si>
  <si>
    <t>Щи из свежей капусты с картофелем со сметаной</t>
  </si>
  <si>
    <t>добавка</t>
  </si>
  <si>
    <t>Зав.производством ____________________</t>
  </si>
  <si>
    <t>Калькулятор___________________________</t>
  </si>
  <si>
    <t>Сок</t>
  </si>
  <si>
    <t>Огурец соленый</t>
  </si>
  <si>
    <t>40</t>
  </si>
  <si>
    <t>60</t>
  </si>
  <si>
    <t>День 10</t>
  </si>
  <si>
    <t>30</t>
  </si>
  <si>
    <t>Котлеты рубленые из птицы</t>
  </si>
  <si>
    <t>Капуста тушеная</t>
  </si>
  <si>
    <t>Мармелад</t>
  </si>
  <si>
    <t>Чай с сахаром</t>
  </si>
  <si>
    <t>Кефир</t>
  </si>
  <si>
    <t>Яблоко</t>
  </si>
  <si>
    <t>Ботон</t>
  </si>
  <si>
    <t>250</t>
  </si>
  <si>
    <t>Плов из оптицы</t>
  </si>
  <si>
    <t>Компот из смеси сухофруктов</t>
  </si>
  <si>
    <t>200</t>
  </si>
  <si>
    <t>95</t>
  </si>
  <si>
    <t>110</t>
  </si>
  <si>
    <t>230/50</t>
  </si>
  <si>
    <t>220/30</t>
  </si>
  <si>
    <t>34</t>
  </si>
  <si>
    <t>35</t>
  </si>
  <si>
    <t>245/5</t>
  </si>
  <si>
    <t>Плов из птицы</t>
  </si>
  <si>
    <t>55</t>
  </si>
  <si>
    <t>МБОУ Зеледеевская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</si>
</sst>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i/>
      <u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i/>
      <u/>
      <sz val="1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0">
    <xf numFmtId="0" fontId="0" fillId="0" borderId="0" xfId="0"/>
    <xf numFmtId="0" fontId="1" fillId="0" borderId="0" xfId="0" applyFont="1"/>
    <xf numFmtId="49" fontId="0" fillId="0" borderId="1" xfId="0" applyNumberFormat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49" fontId="3" fillId="0" borderId="1" xfId="0" applyNumberFormat="1" applyFont="1" applyBorder="1" applyAlignment="1" applyProtection="1">
      <alignment horizontal="center"/>
      <protection locked="0"/>
    </xf>
    <xf numFmtId="0" fontId="3" fillId="0" borderId="0" xfId="0" applyFont="1" applyAlignment="1">
      <alignment vertical="center"/>
    </xf>
    <xf numFmtId="0" fontId="5" fillId="0" borderId="0" xfId="0" applyFont="1" applyAlignment="1">
      <alignment horizontal="center"/>
    </xf>
    <xf numFmtId="0" fontId="3" fillId="0" borderId="21" xfId="0" applyFont="1" applyBorder="1"/>
    <xf numFmtId="0" fontId="4" fillId="0" borderId="21" xfId="0" applyFont="1" applyBorder="1"/>
    <xf numFmtId="0" fontId="3" fillId="0" borderId="21" xfId="0" applyFont="1" applyBorder="1" applyAlignment="1">
      <alignment horizontal="center"/>
    </xf>
    <xf numFmtId="0" fontId="5" fillId="0" borderId="0" xfId="0" applyFont="1"/>
    <xf numFmtId="0" fontId="0" fillId="0" borderId="5" xfId="0" applyBorder="1"/>
    <xf numFmtId="0" fontId="0" fillId="0" borderId="6" xfId="0" applyBorder="1"/>
    <xf numFmtId="49" fontId="5" fillId="0" borderId="6" xfId="0" applyNumberFormat="1" applyFont="1" applyBorder="1" applyAlignment="1" applyProtection="1">
      <alignment horizontal="center"/>
      <protection locked="0"/>
    </xf>
    <xf numFmtId="2" fontId="5" fillId="0" borderId="6" xfId="0" applyNumberFormat="1" applyFont="1" applyBorder="1" applyAlignment="1" applyProtection="1">
      <alignment horizontal="center"/>
      <protection locked="0"/>
    </xf>
    <xf numFmtId="0" fontId="0" fillId="0" borderId="8" xfId="0" applyBorder="1"/>
    <xf numFmtId="0" fontId="3" fillId="0" borderId="4" xfId="0" applyFont="1" applyBorder="1"/>
    <xf numFmtId="0" fontId="6" fillId="0" borderId="4" xfId="0" applyFont="1" applyBorder="1" applyAlignment="1" applyProtection="1">
      <alignment horizontal="center"/>
      <protection locked="0"/>
    </xf>
    <xf numFmtId="0" fontId="6" fillId="0" borderId="4" xfId="0" applyFont="1" applyBorder="1" applyAlignment="1" applyProtection="1">
      <alignment wrapText="1"/>
      <protection locked="0"/>
    </xf>
    <xf numFmtId="49" fontId="5" fillId="0" borderId="4" xfId="0" applyNumberFormat="1" applyFont="1" applyBorder="1" applyAlignment="1" applyProtection="1">
      <alignment horizontal="center"/>
      <protection locked="0"/>
    </xf>
    <xf numFmtId="2" fontId="5" fillId="0" borderId="4" xfId="0" applyNumberFormat="1" applyFont="1" applyBorder="1" applyAlignment="1" applyProtection="1">
      <alignment horizontal="center"/>
      <protection locked="0"/>
    </xf>
    <xf numFmtId="2" fontId="0" fillId="0" borderId="1" xfId="0" applyNumberFormat="1" applyBorder="1" applyProtection="1">
      <protection locked="0"/>
    </xf>
    <xf numFmtId="2" fontId="0" fillId="0" borderId="9" xfId="0" applyNumberFormat="1" applyBorder="1" applyProtection="1">
      <protection locked="0"/>
    </xf>
    <xf numFmtId="0" fontId="3" fillId="0" borderId="11" xfId="0" applyFont="1" applyBorder="1"/>
    <xf numFmtId="0" fontId="0" fillId="0" borderId="1" xfId="0" applyBorder="1"/>
    <xf numFmtId="0" fontId="6" fillId="0" borderId="1" xfId="0" applyFont="1" applyBorder="1" applyAlignment="1" applyProtection="1">
      <alignment horizontal="center"/>
      <protection locked="0"/>
    </xf>
    <xf numFmtId="0" fontId="6" fillId="0" borderId="1" xfId="0" applyFont="1" applyBorder="1" applyAlignment="1" applyProtection="1">
      <alignment wrapText="1"/>
      <protection locked="0"/>
    </xf>
    <xf numFmtId="1" fontId="5" fillId="0" borderId="1" xfId="0" applyNumberFormat="1" applyFont="1" applyBorder="1" applyAlignment="1" applyProtection="1">
      <alignment horizontal="center"/>
      <protection locked="0"/>
    </xf>
    <xf numFmtId="2" fontId="5" fillId="0" borderId="1" xfId="0" applyNumberFormat="1" applyFont="1" applyBorder="1" applyAlignment="1" applyProtection="1">
      <alignment horizontal="center"/>
      <protection locked="0"/>
    </xf>
    <xf numFmtId="0" fontId="3" fillId="0" borderId="4" xfId="0" applyFont="1" applyBorder="1" applyProtection="1">
      <protection locked="0"/>
    </xf>
    <xf numFmtId="0" fontId="0" fillId="0" borderId="18" xfId="0" applyBorder="1"/>
    <xf numFmtId="0" fontId="0" fillId="0" borderId="19" xfId="0" applyBorder="1" applyProtection="1">
      <protection locked="0"/>
    </xf>
    <xf numFmtId="0" fontId="2" fillId="0" borderId="19" xfId="0" applyFont="1" applyBorder="1" applyAlignment="1" applyProtection="1">
      <alignment horizontal="center"/>
      <protection locked="0"/>
    </xf>
    <xf numFmtId="0" fontId="2" fillId="0" borderId="19" xfId="0" applyFont="1" applyBorder="1" applyAlignment="1" applyProtection="1">
      <alignment wrapText="1"/>
      <protection locked="0"/>
    </xf>
    <xf numFmtId="1" fontId="5" fillId="0" borderId="19" xfId="0" applyNumberFormat="1" applyFont="1" applyBorder="1" applyAlignment="1" applyProtection="1">
      <alignment horizontal="center"/>
      <protection locked="0"/>
    </xf>
    <xf numFmtId="2" fontId="5" fillId="0" borderId="19" xfId="0" applyNumberFormat="1" applyFont="1" applyBorder="1" applyAlignment="1" applyProtection="1">
      <alignment horizontal="center"/>
      <protection locked="0"/>
    </xf>
    <xf numFmtId="2" fontId="0" fillId="0" borderId="19" xfId="0" applyNumberFormat="1" applyBorder="1" applyProtection="1">
      <protection locked="0"/>
    </xf>
    <xf numFmtId="2" fontId="0" fillId="0" borderId="20" xfId="0" applyNumberFormat="1" applyBorder="1" applyProtection="1">
      <protection locked="0"/>
    </xf>
    <xf numFmtId="0" fontId="2" fillId="0" borderId="6" xfId="0" applyFont="1" applyBorder="1" applyAlignment="1" applyProtection="1">
      <alignment horizontal="center"/>
      <protection locked="0"/>
    </xf>
    <xf numFmtId="0" fontId="2" fillId="0" borderId="6" xfId="0" applyFont="1" applyBorder="1" applyAlignment="1" applyProtection="1">
      <alignment wrapText="1"/>
      <protection locked="0"/>
    </xf>
    <xf numFmtId="1" fontId="5" fillId="0" borderId="6" xfId="0" applyNumberFormat="1" applyFont="1" applyBorder="1" applyAlignment="1" applyProtection="1">
      <alignment horizontal="center"/>
      <protection locked="0"/>
    </xf>
    <xf numFmtId="2" fontId="0" fillId="0" borderId="6" xfId="0" applyNumberFormat="1" applyBorder="1" applyProtection="1">
      <protection locked="0"/>
    </xf>
    <xf numFmtId="2" fontId="0" fillId="0" borderId="7" xfId="0" applyNumberFormat="1" applyBorder="1" applyProtection="1">
      <protection locked="0"/>
    </xf>
    <xf numFmtId="0" fontId="0" fillId="0" borderId="4" xfId="0" applyBorder="1"/>
    <xf numFmtId="0" fontId="2" fillId="0" borderId="4" xfId="0" applyFont="1" applyBorder="1" applyAlignment="1" applyProtection="1">
      <alignment horizontal="center"/>
      <protection locked="0"/>
    </xf>
    <xf numFmtId="0" fontId="2" fillId="0" borderId="4" xfId="0" applyFont="1" applyBorder="1" applyAlignment="1" applyProtection="1">
      <alignment wrapText="1"/>
      <protection locked="0"/>
    </xf>
    <xf numFmtId="1" fontId="5" fillId="0" borderId="4" xfId="0" applyNumberFormat="1" applyFont="1" applyBorder="1" applyAlignment="1" applyProtection="1">
      <alignment horizontal="center"/>
      <protection locked="0"/>
    </xf>
    <xf numFmtId="2" fontId="0" fillId="0" borderId="4" xfId="0" applyNumberFormat="1" applyBorder="1" applyProtection="1">
      <protection locked="0"/>
    </xf>
    <xf numFmtId="2" fontId="0" fillId="0" borderId="16" xfId="0" applyNumberFormat="1" applyBorder="1" applyProtection="1">
      <protection locked="0"/>
    </xf>
    <xf numFmtId="0" fontId="0" fillId="0" borderId="17" xfId="0" applyBorder="1"/>
    <xf numFmtId="0" fontId="0" fillId="0" borderId="14" xfId="0" applyBorder="1" applyProtection="1">
      <protection locked="0"/>
    </xf>
    <xf numFmtId="0" fontId="2" fillId="0" borderId="14" xfId="0" applyFont="1" applyBorder="1" applyAlignment="1" applyProtection="1">
      <alignment horizontal="center"/>
      <protection locked="0"/>
    </xf>
    <xf numFmtId="0" fontId="2" fillId="0" borderId="14" xfId="0" applyFont="1" applyBorder="1" applyAlignment="1" applyProtection="1">
      <alignment wrapText="1"/>
      <protection locked="0"/>
    </xf>
    <xf numFmtId="1" fontId="5" fillId="0" borderId="14" xfId="0" applyNumberFormat="1" applyFont="1" applyBorder="1" applyAlignment="1" applyProtection="1">
      <alignment horizontal="center"/>
      <protection locked="0"/>
    </xf>
    <xf numFmtId="2" fontId="5" fillId="0" borderId="14" xfId="0" applyNumberFormat="1" applyFont="1" applyBorder="1" applyAlignment="1" applyProtection="1">
      <alignment horizontal="center"/>
      <protection locked="0"/>
    </xf>
    <xf numFmtId="2" fontId="0" fillId="0" borderId="14" xfId="0" applyNumberFormat="1" applyBorder="1" applyProtection="1">
      <protection locked="0"/>
    </xf>
    <xf numFmtId="2" fontId="0" fillId="0" borderId="15" xfId="0" applyNumberFormat="1" applyBorder="1" applyProtection="1"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wrapText="1"/>
      <protection locked="0"/>
    </xf>
    <xf numFmtId="49" fontId="5" fillId="0" borderId="1" xfId="0" applyNumberFormat="1" applyFont="1" applyBorder="1" applyAlignment="1" applyProtection="1">
      <alignment horizontal="center"/>
      <protection locked="0"/>
    </xf>
    <xf numFmtId="0" fontId="0" fillId="0" borderId="11" xfId="0" applyBorder="1"/>
    <xf numFmtId="0" fontId="2" fillId="0" borderId="11" xfId="0" applyFont="1" applyBorder="1" applyAlignment="1" applyProtection="1">
      <alignment horizontal="center"/>
      <protection locked="0"/>
    </xf>
    <xf numFmtId="0" fontId="2" fillId="0" borderId="11" xfId="0" applyFont="1" applyBorder="1" applyAlignment="1" applyProtection="1">
      <alignment wrapText="1"/>
      <protection locked="0"/>
    </xf>
    <xf numFmtId="49" fontId="5" fillId="0" borderId="11" xfId="0" applyNumberFormat="1" applyFont="1" applyBorder="1" applyAlignment="1" applyProtection="1">
      <alignment horizontal="center"/>
      <protection locked="0"/>
    </xf>
    <xf numFmtId="2" fontId="5" fillId="0" borderId="11" xfId="0" applyNumberFormat="1" applyFont="1" applyBorder="1" applyAlignment="1" applyProtection="1">
      <alignment horizontal="center"/>
      <protection locked="0"/>
    </xf>
    <xf numFmtId="2" fontId="0" fillId="0" borderId="11" xfId="0" applyNumberFormat="1" applyBorder="1" applyProtection="1">
      <protection locked="0"/>
    </xf>
    <xf numFmtId="2" fontId="0" fillId="0" borderId="12" xfId="0" applyNumberFormat="1" applyBorder="1" applyProtection="1">
      <protection locked="0"/>
    </xf>
    <xf numFmtId="0" fontId="0" fillId="0" borderId="13" xfId="0" applyBorder="1"/>
    <xf numFmtId="0" fontId="0" fillId="0" borderId="14" xfId="0" applyBorder="1"/>
    <xf numFmtId="0" fontId="5" fillId="0" borderId="14" xfId="0" applyFont="1" applyBorder="1" applyAlignment="1">
      <alignment horizontal="center"/>
    </xf>
    <xf numFmtId="2" fontId="5" fillId="0" borderId="14" xfId="0" applyNumberFormat="1" applyFont="1" applyBorder="1" applyAlignment="1">
      <alignment horizontal="center"/>
    </xf>
    <xf numFmtId="2" fontId="0" fillId="0" borderId="14" xfId="0" applyNumberFormat="1" applyBorder="1"/>
    <xf numFmtId="2" fontId="0" fillId="0" borderId="15" xfId="0" applyNumberFormat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/>
    <xf numFmtId="0" fontId="6" fillId="0" borderId="14" xfId="0" applyFont="1" applyBorder="1" applyAlignment="1">
      <alignment horizontal="center"/>
    </xf>
    <xf numFmtId="0" fontId="6" fillId="0" borderId="14" xfId="0" applyFont="1" applyBorder="1"/>
    <xf numFmtId="0" fontId="7" fillId="0" borderId="14" xfId="0" applyFont="1" applyBorder="1" applyAlignment="1">
      <alignment horizontal="center"/>
    </xf>
    <xf numFmtId="2" fontId="7" fillId="0" borderId="14" xfId="0" applyNumberFormat="1" applyFont="1" applyBorder="1" applyAlignment="1">
      <alignment horizontal="center" vertical="center"/>
    </xf>
    <xf numFmtId="2" fontId="3" fillId="0" borderId="14" xfId="0" applyNumberFormat="1" applyFont="1" applyBorder="1"/>
    <xf numFmtId="2" fontId="3" fillId="0" borderId="15" xfId="0" applyNumberFormat="1" applyFont="1" applyBorder="1"/>
    <xf numFmtId="2" fontId="7" fillId="0" borderId="14" xfId="0" applyNumberFormat="1" applyFont="1" applyBorder="1"/>
    <xf numFmtId="0" fontId="3" fillId="0" borderId="22" xfId="0" applyFont="1" applyBorder="1"/>
    <xf numFmtId="0" fontId="3" fillId="0" borderId="22" xfId="0" applyFont="1" applyBorder="1" applyAlignment="1">
      <alignment horizontal="center"/>
    </xf>
    <xf numFmtId="2" fontId="7" fillId="0" borderId="14" xfId="0" applyNumberFormat="1" applyFont="1" applyBorder="1" applyAlignment="1">
      <alignment horizontal="right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0" fillId="0" borderId="24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/>
    </xf>
    <xf numFmtId="2" fontId="0" fillId="0" borderId="26" xfId="0" applyNumberFormat="1" applyBorder="1" applyProtection="1">
      <protection locked="0"/>
    </xf>
    <xf numFmtId="2" fontId="0" fillId="0" borderId="27" xfId="0" applyNumberFormat="1" applyBorder="1" applyProtection="1">
      <protection locked="0"/>
    </xf>
    <xf numFmtId="0" fontId="3" fillId="0" borderId="23" xfId="0" applyFont="1" applyBorder="1"/>
    <xf numFmtId="0" fontId="3" fillId="0" borderId="24" xfId="0" applyFont="1" applyBorder="1"/>
    <xf numFmtId="0" fontId="3" fillId="0" borderId="25" xfId="0" applyFont="1" applyBorder="1"/>
    <xf numFmtId="2" fontId="0" fillId="0" borderId="0" xfId="0" applyNumberFormat="1"/>
    <xf numFmtId="0" fontId="0" fillId="0" borderId="26" xfId="0" applyBorder="1"/>
    <xf numFmtId="1" fontId="5" fillId="0" borderId="11" xfId="0" applyNumberFormat="1" applyFont="1" applyBorder="1" applyAlignment="1" applyProtection="1">
      <alignment horizontal="center"/>
      <protection locked="0"/>
    </xf>
    <xf numFmtId="49" fontId="0" fillId="0" borderId="0" xfId="0" applyNumberFormat="1"/>
    <xf numFmtId="0" fontId="0" fillId="0" borderId="29" xfId="0" applyBorder="1"/>
    <xf numFmtId="0" fontId="3" fillId="0" borderId="29" xfId="0" applyFont="1" applyBorder="1"/>
    <xf numFmtId="0" fontId="3" fillId="0" borderId="30" xfId="0" applyFont="1" applyBorder="1"/>
    <xf numFmtId="0" fontId="0" fillId="0" borderId="3" xfId="0" applyBorder="1"/>
    <xf numFmtId="0" fontId="3" fillId="0" borderId="29" xfId="0" applyFont="1" applyBorder="1" applyProtection="1">
      <protection locked="0"/>
    </xf>
    <xf numFmtId="0" fontId="3" fillId="0" borderId="31" xfId="0" applyFont="1" applyBorder="1"/>
    <xf numFmtId="0" fontId="0" fillId="0" borderId="32" xfId="0" applyBorder="1"/>
    <xf numFmtId="0" fontId="3" fillId="0" borderId="3" xfId="0" applyFont="1" applyBorder="1"/>
    <xf numFmtId="0" fontId="3" fillId="0" borderId="35" xfId="0" applyFont="1" applyBorder="1"/>
    <xf numFmtId="0" fontId="3" fillId="0" borderId="36" xfId="0" applyFont="1" applyBorder="1"/>
    <xf numFmtId="0" fontId="3" fillId="0" borderId="37" xfId="0" applyFont="1" applyBorder="1"/>
    <xf numFmtId="0" fontId="3" fillId="0" borderId="38" xfId="0" applyFont="1" applyBorder="1"/>
    <xf numFmtId="0" fontId="3" fillId="0" borderId="33" xfId="0" applyFont="1" applyBorder="1"/>
    <xf numFmtId="0" fontId="0" fillId="0" borderId="2" xfId="0" applyBorder="1" applyAlignment="1" applyProtection="1">
      <alignment wrapText="1"/>
      <protection locked="0"/>
    </xf>
    <xf numFmtId="0" fontId="0" fillId="0" borderId="10" xfId="0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  <xf numFmtId="0" fontId="3" fillId="0" borderId="2" xfId="0" applyFont="1" applyBorder="1" applyAlignment="1" applyProtection="1">
      <alignment wrapText="1"/>
      <protection locked="0"/>
    </xf>
    <xf numFmtId="0" fontId="3" fillId="0" borderId="10" xfId="0" applyFont="1" applyBorder="1" applyAlignment="1" applyProtection="1">
      <alignment wrapText="1"/>
      <protection locked="0"/>
    </xf>
    <xf numFmtId="0" fontId="3" fillId="0" borderId="3" xfId="0" applyFont="1" applyBorder="1" applyAlignment="1" applyProtection="1">
      <alignment wrapText="1"/>
      <protection locked="0"/>
    </xf>
    <xf numFmtId="0" fontId="3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3" fillId="0" borderId="0" xfId="0" applyNumberFormat="1" applyFont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0" fillId="0" borderId="28" xfId="0" applyBorder="1" applyAlignment="1">
      <alignment horizontal="center"/>
    </xf>
    <xf numFmtId="14" fontId="0" fillId="0" borderId="0" xfId="0" applyNumberFormat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N43"/>
  <sheetViews>
    <sheetView tabSelected="1" zoomScaleNormal="100" workbookViewId="0">
      <selection activeCell="F35" sqref="F35"/>
    </sheetView>
  </sheetViews>
  <sheetFormatPr defaultColWidth="8.88671875" defaultRowHeight="14.4" x14ac:dyDescent="0.3"/>
  <cols>
    <col min="1" max="1" width="11.6640625" bestFit="1" customWidth="1"/>
    <col min="2" max="2" width="11.5546875" customWidth="1"/>
    <col min="3" max="3" width="7.109375" bestFit="1" customWidth="1"/>
    <col min="4" max="4" width="24.6640625" bestFit="1" customWidth="1"/>
    <col min="5" max="5" width="9.21875" style="3" bestFit="1" customWidth="1"/>
    <col min="6" max="6" width="8.33203125" style="3" bestFit="1" customWidth="1"/>
    <col min="7" max="7" width="7.6640625" customWidth="1"/>
    <col min="8" max="8" width="6.109375" bestFit="1" customWidth="1"/>
    <col min="9" max="9" width="6.5546875" customWidth="1"/>
    <col min="10" max="10" width="8.5546875" customWidth="1"/>
  </cols>
  <sheetData>
    <row r="1" spans="1:14" ht="28.95" customHeight="1" x14ac:dyDescent="0.3">
      <c r="A1" t="s">
        <v>0</v>
      </c>
      <c r="B1" s="116" t="s">
        <v>63</v>
      </c>
      <c r="C1" s="117"/>
      <c r="D1" s="118"/>
      <c r="E1" s="3" t="s">
        <v>26</v>
      </c>
      <c r="F1" s="2"/>
      <c r="G1" s="128" t="s">
        <v>41</v>
      </c>
      <c r="H1" s="127"/>
      <c r="I1" s="129">
        <v>45198</v>
      </c>
      <c r="J1" s="129"/>
    </row>
    <row r="2" spans="1:14" ht="15" thickBot="1" x14ac:dyDescent="0.35">
      <c r="B2" s="1" t="s">
        <v>25</v>
      </c>
    </row>
    <row r="3" spans="1:14" s="4" customFormat="1" ht="29.4" thickBot="1" x14ac:dyDescent="0.35">
      <c r="A3" s="89" t="s">
        <v>1</v>
      </c>
      <c r="B3" s="90" t="s">
        <v>2</v>
      </c>
      <c r="C3" s="90" t="s">
        <v>18</v>
      </c>
      <c r="D3" s="90" t="s">
        <v>3</v>
      </c>
      <c r="E3" s="91" t="s">
        <v>19</v>
      </c>
      <c r="F3" s="91" t="s">
        <v>4</v>
      </c>
      <c r="G3" s="92" t="s">
        <v>5</v>
      </c>
      <c r="H3" s="90" t="s">
        <v>6</v>
      </c>
      <c r="I3" s="90" t="s">
        <v>7</v>
      </c>
      <c r="J3" s="93" t="s">
        <v>8</v>
      </c>
    </row>
    <row r="4" spans="1:14" ht="28.8" x14ac:dyDescent="0.3">
      <c r="A4" s="19" t="s">
        <v>9</v>
      </c>
      <c r="B4" s="47" t="s">
        <v>10</v>
      </c>
      <c r="C4" s="21">
        <v>14</v>
      </c>
      <c r="D4" s="22" t="s">
        <v>43</v>
      </c>
      <c r="E4" s="23" t="s">
        <v>54</v>
      </c>
      <c r="F4" s="24">
        <f>29.12*95/90</f>
        <v>30.737777777777779</v>
      </c>
      <c r="G4" s="51">
        <v>211</v>
      </c>
      <c r="H4" s="51">
        <v>16.059999999999999</v>
      </c>
      <c r="I4" s="51">
        <v>10.5</v>
      </c>
      <c r="J4" s="52">
        <v>10.25</v>
      </c>
      <c r="M4" s="102"/>
    </row>
    <row r="5" spans="1:14" ht="15.6" x14ac:dyDescent="0.3">
      <c r="A5" s="19"/>
      <c r="B5" s="20" t="s">
        <v>32</v>
      </c>
      <c r="C5" s="48">
        <v>64</v>
      </c>
      <c r="D5" s="49" t="s">
        <v>44</v>
      </c>
      <c r="E5" s="50">
        <v>160</v>
      </c>
      <c r="F5" s="24">
        <f>16.2*160/150</f>
        <v>17.28</v>
      </c>
      <c r="G5" s="51">
        <v>118</v>
      </c>
      <c r="H5" s="51">
        <v>3.05</v>
      </c>
      <c r="I5" s="51">
        <v>5.51</v>
      </c>
      <c r="J5" s="52">
        <v>11.7</v>
      </c>
    </row>
    <row r="6" spans="1:14" ht="15.6" x14ac:dyDescent="0.3">
      <c r="A6" s="19"/>
      <c r="B6" s="27" t="s">
        <v>34</v>
      </c>
      <c r="C6" s="21" t="s">
        <v>20</v>
      </c>
      <c r="D6" s="22" t="s">
        <v>45</v>
      </c>
      <c r="E6" s="50">
        <v>26</v>
      </c>
      <c r="F6" s="24">
        <f>270*0.026</f>
        <v>7.02</v>
      </c>
      <c r="G6" s="25">
        <v>48</v>
      </c>
      <c r="H6" s="25">
        <v>1.52</v>
      </c>
      <c r="I6" s="25">
        <v>0.16</v>
      </c>
      <c r="J6" s="26">
        <v>9.7200000000000006</v>
      </c>
    </row>
    <row r="7" spans="1:14" ht="15.6" x14ac:dyDescent="0.3">
      <c r="A7" s="19"/>
      <c r="B7" s="28" t="s">
        <v>11</v>
      </c>
      <c r="C7" s="29">
        <v>57</v>
      </c>
      <c r="D7" s="30" t="s">
        <v>46</v>
      </c>
      <c r="E7" s="31">
        <v>200</v>
      </c>
      <c r="F7" s="32">
        <v>1.3</v>
      </c>
      <c r="G7" s="69">
        <v>41</v>
      </c>
      <c r="H7" s="69">
        <v>0</v>
      </c>
      <c r="I7" s="69">
        <v>0</v>
      </c>
      <c r="J7" s="70">
        <v>10.01</v>
      </c>
    </row>
    <row r="8" spans="1:14" ht="15.6" x14ac:dyDescent="0.3">
      <c r="A8" s="19"/>
      <c r="B8" s="28" t="s">
        <v>16</v>
      </c>
      <c r="C8" s="29" t="s">
        <v>20</v>
      </c>
      <c r="D8" s="30" t="s">
        <v>21</v>
      </c>
      <c r="E8" s="31">
        <v>27</v>
      </c>
      <c r="F8" s="32">
        <v>1.1599999999999999</v>
      </c>
      <c r="G8" s="25">
        <f>42*26/20</f>
        <v>54.6</v>
      </c>
      <c r="H8" s="25">
        <f>0.98*26/20</f>
        <v>1.274</v>
      </c>
      <c r="I8" s="25">
        <f>0.2*26/20</f>
        <v>0.26</v>
      </c>
      <c r="J8" s="26">
        <f>8.96*26/20</f>
        <v>11.648000000000001</v>
      </c>
      <c r="N8" s="99"/>
    </row>
    <row r="9" spans="1:14" ht="15.6" x14ac:dyDescent="0.3">
      <c r="A9" s="19"/>
      <c r="B9" s="33" t="s">
        <v>17</v>
      </c>
      <c r="C9" s="29" t="s">
        <v>20</v>
      </c>
      <c r="D9" s="30" t="s">
        <v>24</v>
      </c>
      <c r="E9" s="31">
        <v>28</v>
      </c>
      <c r="F9" s="32">
        <f>36.36*0.028</f>
        <v>1.0180800000000001</v>
      </c>
      <c r="G9" s="25">
        <f>47*28/20</f>
        <v>65.8</v>
      </c>
      <c r="H9" s="25">
        <f>1.52*28/20</f>
        <v>2.1280000000000001</v>
      </c>
      <c r="I9" s="25">
        <f>0.16*28/20</f>
        <v>0.22400000000000003</v>
      </c>
      <c r="J9" s="26">
        <f>9.84*28/20</f>
        <v>13.776</v>
      </c>
      <c r="N9" s="99"/>
    </row>
    <row r="10" spans="1:14" ht="16.2" thickBot="1" x14ac:dyDescent="0.35">
      <c r="A10" s="34"/>
      <c r="B10" s="35"/>
      <c r="C10" s="36"/>
      <c r="D10" s="37"/>
      <c r="E10" s="38"/>
      <c r="F10" s="39">
        <f>SUM(F4:F9)</f>
        <v>58.515857777777768</v>
      </c>
      <c r="G10" s="40">
        <f>SUM(G4:G9)</f>
        <v>538.4</v>
      </c>
      <c r="H10" s="40">
        <f>SUM(H4:H9)</f>
        <v>24.032</v>
      </c>
      <c r="I10" s="40">
        <f>SUM(I4:I9)</f>
        <v>16.654</v>
      </c>
      <c r="J10" s="41">
        <f>SUM(J4:J9)</f>
        <v>67.103999999999999</v>
      </c>
    </row>
    <row r="11" spans="1:14" ht="15.6" x14ac:dyDescent="0.3">
      <c r="A11" s="15" t="s">
        <v>22</v>
      </c>
      <c r="B11" s="16" t="s">
        <v>23</v>
      </c>
      <c r="C11" s="42">
        <v>63</v>
      </c>
      <c r="D11" s="43" t="s">
        <v>47</v>
      </c>
      <c r="E11" s="44">
        <v>200</v>
      </c>
      <c r="F11" s="18">
        <v>19.420000000000002</v>
      </c>
      <c r="G11" s="45">
        <v>118</v>
      </c>
      <c r="H11" s="45">
        <v>5.6</v>
      </c>
      <c r="I11" s="45">
        <v>6.4</v>
      </c>
      <c r="J11" s="46">
        <v>8.1999999999999993</v>
      </c>
    </row>
    <row r="12" spans="1:14" ht="15.6" x14ac:dyDescent="0.3">
      <c r="A12" s="19"/>
      <c r="B12" s="47" t="s">
        <v>34</v>
      </c>
      <c r="C12" s="61" t="s">
        <v>20</v>
      </c>
      <c r="D12" s="62" t="s">
        <v>48</v>
      </c>
      <c r="E12" s="31">
        <v>134</v>
      </c>
      <c r="F12" s="32">
        <f>0.134*165</f>
        <v>22.110000000000003</v>
      </c>
      <c r="G12" s="25">
        <v>47</v>
      </c>
      <c r="H12" s="25">
        <v>0.4</v>
      </c>
      <c r="I12" s="25">
        <v>0.4</v>
      </c>
      <c r="J12" s="26">
        <v>9.8000000000000007</v>
      </c>
    </row>
    <row r="13" spans="1:14" ht="15.6" x14ac:dyDescent="0.3">
      <c r="A13" s="19"/>
      <c r="B13" s="100" t="s">
        <v>17</v>
      </c>
      <c r="C13" s="65" t="s">
        <v>20</v>
      </c>
      <c r="D13" s="66" t="s">
        <v>49</v>
      </c>
      <c r="E13" s="101">
        <v>52</v>
      </c>
      <c r="F13" s="68">
        <f>45.45*0.052</f>
        <v>2.3633999999999999</v>
      </c>
      <c r="G13" s="69">
        <v>131</v>
      </c>
      <c r="H13" s="69">
        <v>3.75</v>
      </c>
      <c r="I13" s="69">
        <v>1.45</v>
      </c>
      <c r="J13" s="70">
        <v>25.7</v>
      </c>
    </row>
    <row r="14" spans="1:14" ht="16.2" thickBot="1" x14ac:dyDescent="0.35">
      <c r="A14" s="53"/>
      <c r="B14" s="54"/>
      <c r="C14" s="55"/>
      <c r="D14" s="56"/>
      <c r="E14" s="57"/>
      <c r="F14" s="58">
        <v>43.9</v>
      </c>
      <c r="G14" s="59">
        <f>SUM(G11:G13)</f>
        <v>296</v>
      </c>
      <c r="H14" s="59">
        <f>SUM(H11:H13)</f>
        <v>9.75</v>
      </c>
      <c r="I14" s="59">
        <f>SUM(I11:I13)</f>
        <v>8.25</v>
      </c>
      <c r="J14" s="60">
        <f>SUM(J11:J13)</f>
        <v>43.7</v>
      </c>
    </row>
    <row r="15" spans="1:14" ht="15.6" x14ac:dyDescent="0.3">
      <c r="A15" s="15" t="s">
        <v>12</v>
      </c>
      <c r="B15" s="16" t="s">
        <v>13</v>
      </c>
      <c r="C15" s="42">
        <v>4</v>
      </c>
      <c r="D15" s="43" t="s">
        <v>38</v>
      </c>
      <c r="E15" s="17" t="s">
        <v>40</v>
      </c>
      <c r="F15" s="18">
        <v>28.02</v>
      </c>
      <c r="G15" s="45">
        <v>8</v>
      </c>
      <c r="H15" s="45">
        <v>0.48</v>
      </c>
      <c r="I15" s="45">
        <v>0.06</v>
      </c>
      <c r="J15" s="46">
        <v>1.02</v>
      </c>
    </row>
    <row r="16" spans="1:14" ht="28.8" x14ac:dyDescent="0.3">
      <c r="A16" s="19"/>
      <c r="B16" s="28" t="s">
        <v>14</v>
      </c>
      <c r="C16" s="61">
        <v>33</v>
      </c>
      <c r="D16" s="62" t="s">
        <v>33</v>
      </c>
      <c r="E16" s="63" t="s">
        <v>60</v>
      </c>
      <c r="F16" s="32">
        <f>10.41*245/245+1.84</f>
        <v>12.25</v>
      </c>
      <c r="G16" s="25">
        <v>100</v>
      </c>
      <c r="H16" s="25">
        <v>1.82</v>
      </c>
      <c r="I16" s="25">
        <v>6.18</v>
      </c>
      <c r="J16" s="26">
        <v>7.73</v>
      </c>
      <c r="M16" s="102"/>
    </row>
    <row r="17" spans="1:10" ht="15.6" x14ac:dyDescent="0.3">
      <c r="A17" s="19"/>
      <c r="B17" s="28" t="s">
        <v>15</v>
      </c>
      <c r="C17" s="61">
        <v>34</v>
      </c>
      <c r="D17" s="62" t="s">
        <v>61</v>
      </c>
      <c r="E17" s="63" t="s">
        <v>57</v>
      </c>
      <c r="F17" s="32">
        <f>73.75*30/81+9.52*220/159</f>
        <v>40.487141858839969</v>
      </c>
      <c r="G17" s="25">
        <v>437</v>
      </c>
      <c r="H17" s="25">
        <v>20.55</v>
      </c>
      <c r="I17" s="25">
        <v>22.38</v>
      </c>
      <c r="J17" s="26">
        <v>38.76</v>
      </c>
    </row>
    <row r="18" spans="1:10" ht="28.8" x14ac:dyDescent="0.3">
      <c r="A18" s="19"/>
      <c r="B18" s="28" t="s">
        <v>23</v>
      </c>
      <c r="C18" s="61">
        <v>17</v>
      </c>
      <c r="D18" s="62" t="s">
        <v>52</v>
      </c>
      <c r="E18" s="63" t="s">
        <v>53</v>
      </c>
      <c r="F18" s="32">
        <v>4.29</v>
      </c>
      <c r="G18" s="25">
        <v>80</v>
      </c>
      <c r="H18" s="25">
        <v>0.44</v>
      </c>
      <c r="I18" s="25">
        <v>0</v>
      </c>
      <c r="J18" s="26">
        <v>18.899999999999999</v>
      </c>
    </row>
    <row r="19" spans="1:10" ht="15.6" x14ac:dyDescent="0.3">
      <c r="A19" s="19"/>
      <c r="B19" s="28" t="s">
        <v>17</v>
      </c>
      <c r="C19" s="61" t="s">
        <v>20</v>
      </c>
      <c r="D19" s="30" t="s">
        <v>21</v>
      </c>
      <c r="E19" s="63" t="s">
        <v>58</v>
      </c>
      <c r="F19" s="32">
        <v>1.47</v>
      </c>
      <c r="G19" s="25">
        <v>63</v>
      </c>
      <c r="H19" s="25">
        <v>1.47</v>
      </c>
      <c r="I19" s="25">
        <v>0.3</v>
      </c>
      <c r="J19" s="26">
        <v>13.44</v>
      </c>
    </row>
    <row r="20" spans="1:10" ht="15.6" x14ac:dyDescent="0.3">
      <c r="A20" s="19"/>
      <c r="B20" s="64" t="s">
        <v>16</v>
      </c>
      <c r="C20" s="65" t="s">
        <v>20</v>
      </c>
      <c r="D20" s="30" t="s">
        <v>24</v>
      </c>
      <c r="E20" s="67" t="s">
        <v>59</v>
      </c>
      <c r="F20" s="68">
        <f>36.36*0.035</f>
        <v>1.2726000000000002</v>
      </c>
      <c r="G20" s="69">
        <v>70.5</v>
      </c>
      <c r="H20" s="69">
        <v>2.2799999999999998</v>
      </c>
      <c r="I20" s="69">
        <v>0.24</v>
      </c>
      <c r="J20" s="70">
        <v>14.76</v>
      </c>
    </row>
    <row r="21" spans="1:10" ht="16.2" thickBot="1" x14ac:dyDescent="0.35">
      <c r="A21" s="71"/>
      <c r="B21" s="54"/>
      <c r="C21" s="72"/>
      <c r="D21" s="72"/>
      <c r="E21" s="74"/>
      <c r="F21" s="74">
        <f>SUM(F15:F20)</f>
        <v>87.78974185883996</v>
      </c>
      <c r="G21" s="75">
        <f>SUM(G15:G20)</f>
        <v>758.5</v>
      </c>
      <c r="H21" s="75">
        <f>SUM(H15:H20)</f>
        <v>27.040000000000003</v>
      </c>
      <c r="I21" s="75">
        <f>SUM(I15:I20)</f>
        <v>29.159999999999997</v>
      </c>
      <c r="J21" s="76">
        <f>SUM(J15:J20)</f>
        <v>94.61</v>
      </c>
    </row>
    <row r="22" spans="1:10" ht="16.2" thickBot="1" x14ac:dyDescent="0.35">
      <c r="B22" s="1" t="s">
        <v>27</v>
      </c>
      <c r="E22" s="10"/>
      <c r="F22" s="10"/>
    </row>
    <row r="23" spans="1:10" ht="29.4" thickBot="1" x14ac:dyDescent="0.35">
      <c r="A23" s="89" t="s">
        <v>1</v>
      </c>
      <c r="B23" s="90" t="s">
        <v>2</v>
      </c>
      <c r="C23" s="90" t="s">
        <v>18</v>
      </c>
      <c r="D23" s="90" t="s">
        <v>3</v>
      </c>
      <c r="E23" s="91" t="s">
        <v>19</v>
      </c>
      <c r="F23" s="91" t="s">
        <v>4</v>
      </c>
      <c r="G23" s="92" t="s">
        <v>5</v>
      </c>
      <c r="H23" s="90" t="s">
        <v>6</v>
      </c>
      <c r="I23" s="90" t="s">
        <v>7</v>
      </c>
      <c r="J23" s="93" t="s">
        <v>8</v>
      </c>
    </row>
    <row r="24" spans="1:10" ht="28.8" x14ac:dyDescent="0.3">
      <c r="A24" s="19" t="s">
        <v>9</v>
      </c>
      <c r="B24" s="47" t="s">
        <v>10</v>
      </c>
      <c r="C24" s="21">
        <v>14</v>
      </c>
      <c r="D24" s="22" t="s">
        <v>43</v>
      </c>
      <c r="E24" s="23" t="s">
        <v>55</v>
      </c>
      <c r="F24" s="24">
        <f>32.45*110/100</f>
        <v>35.695000000000007</v>
      </c>
      <c r="G24" s="94">
        <v>234.44</v>
      </c>
      <c r="H24" s="94">
        <v>17.84</v>
      </c>
      <c r="I24" s="94">
        <v>11.67</v>
      </c>
      <c r="J24" s="95">
        <v>11.39</v>
      </c>
    </row>
    <row r="25" spans="1:10" ht="15.6" x14ac:dyDescent="0.3">
      <c r="A25" s="19"/>
      <c r="B25" s="20" t="s">
        <v>32</v>
      </c>
      <c r="C25" s="48">
        <v>64</v>
      </c>
      <c r="D25" s="49" t="s">
        <v>44</v>
      </c>
      <c r="E25" s="31">
        <v>200</v>
      </c>
      <c r="F25" s="32">
        <f>19.43*200/180</f>
        <v>21.588888888888889</v>
      </c>
      <c r="G25" s="25">
        <v>141.6</v>
      </c>
      <c r="H25" s="25">
        <v>3.66</v>
      </c>
      <c r="I25" s="25">
        <v>6.61</v>
      </c>
      <c r="J25" s="26">
        <v>14.04</v>
      </c>
    </row>
    <row r="26" spans="1:10" ht="15.6" x14ac:dyDescent="0.3">
      <c r="A26" s="19"/>
      <c r="B26" s="27" t="s">
        <v>34</v>
      </c>
      <c r="C26" s="21" t="s">
        <v>20</v>
      </c>
      <c r="D26" s="22" t="s">
        <v>45</v>
      </c>
      <c r="E26" s="50">
        <v>26</v>
      </c>
      <c r="F26" s="24">
        <f>270*0.026</f>
        <v>7.02</v>
      </c>
      <c r="G26" s="25">
        <v>48</v>
      </c>
      <c r="H26" s="25">
        <v>1.52</v>
      </c>
      <c r="I26" s="25">
        <v>0.16</v>
      </c>
      <c r="J26" s="26">
        <v>9.7200000000000006</v>
      </c>
    </row>
    <row r="27" spans="1:10" ht="15.6" x14ac:dyDescent="0.3">
      <c r="A27" s="19"/>
      <c r="B27" s="28" t="s">
        <v>11</v>
      </c>
      <c r="C27" s="29">
        <v>57</v>
      </c>
      <c r="D27" s="30" t="s">
        <v>46</v>
      </c>
      <c r="E27" s="31">
        <v>200</v>
      </c>
      <c r="F27" s="32">
        <v>1.3</v>
      </c>
      <c r="G27" s="69">
        <v>41</v>
      </c>
      <c r="H27" s="69">
        <v>0</v>
      </c>
      <c r="I27" s="69">
        <v>0</v>
      </c>
      <c r="J27" s="70">
        <v>10.01</v>
      </c>
    </row>
    <row r="28" spans="1:10" ht="15.6" x14ac:dyDescent="0.3">
      <c r="A28" s="19"/>
      <c r="B28" s="28" t="s">
        <v>16</v>
      </c>
      <c r="C28" s="29" t="s">
        <v>20</v>
      </c>
      <c r="D28" s="30" t="s">
        <v>21</v>
      </c>
      <c r="E28" s="31">
        <v>31</v>
      </c>
      <c r="F28" s="32">
        <v>1.32</v>
      </c>
      <c r="G28" s="25">
        <f>63*31/30</f>
        <v>65.099999999999994</v>
      </c>
      <c r="H28" s="25">
        <f>1.47*31/30</f>
        <v>1.5189999999999999</v>
      </c>
      <c r="I28" s="25">
        <f>0.3*31/30</f>
        <v>0.30999999999999994</v>
      </c>
      <c r="J28" s="26">
        <f>13.44*31/30</f>
        <v>13.888</v>
      </c>
    </row>
    <row r="29" spans="1:10" ht="15.6" x14ac:dyDescent="0.3">
      <c r="A29" s="19"/>
      <c r="B29" s="33" t="s">
        <v>17</v>
      </c>
      <c r="C29" s="29" t="s">
        <v>20</v>
      </c>
      <c r="D29" s="30" t="s">
        <v>24</v>
      </c>
      <c r="E29" s="31">
        <v>31</v>
      </c>
      <c r="F29" s="32">
        <f>36.36*0.031</f>
        <v>1.1271599999999999</v>
      </c>
      <c r="G29" s="25">
        <f>70.5*31/30</f>
        <v>72.849999999999994</v>
      </c>
      <c r="H29" s="25">
        <f>2.28*31/30</f>
        <v>2.3559999999999999</v>
      </c>
      <c r="I29" s="25">
        <f>0.24*31/30</f>
        <v>0.24799999999999997</v>
      </c>
      <c r="J29" s="26">
        <f>14.76*31/30</f>
        <v>15.252000000000001</v>
      </c>
    </row>
    <row r="30" spans="1:10" ht="16.2" thickBot="1" x14ac:dyDescent="0.35">
      <c r="A30" s="34"/>
      <c r="B30" s="35"/>
      <c r="C30" s="36"/>
      <c r="D30" s="37"/>
      <c r="E30" s="38"/>
      <c r="F30" s="39">
        <f>SUM(F24:F29)</f>
        <v>68.051048888888886</v>
      </c>
      <c r="G30" s="40">
        <f>SUM(G24:G29)</f>
        <v>602.99</v>
      </c>
      <c r="H30" s="40">
        <f>SUM(H24:H29)</f>
        <v>26.894999999999996</v>
      </c>
      <c r="I30" s="40">
        <f>SUM(I24:I29)</f>
        <v>18.998000000000001</v>
      </c>
      <c r="J30" s="41">
        <f>SUM(J24:J29)</f>
        <v>74.3</v>
      </c>
    </row>
    <row r="31" spans="1:10" ht="15.6" x14ac:dyDescent="0.3">
      <c r="A31" s="15" t="s">
        <v>22</v>
      </c>
      <c r="B31" s="16" t="s">
        <v>23</v>
      </c>
      <c r="C31" s="42">
        <v>63</v>
      </c>
      <c r="D31" s="43" t="s">
        <v>47</v>
      </c>
      <c r="E31" s="44">
        <v>200</v>
      </c>
      <c r="F31" s="18">
        <v>19.420000000000002</v>
      </c>
      <c r="G31" s="45">
        <v>118</v>
      </c>
      <c r="H31" s="45">
        <v>5.6</v>
      </c>
      <c r="I31" s="45">
        <v>6.4</v>
      </c>
      <c r="J31" s="46">
        <v>8.1999999999999993</v>
      </c>
    </row>
    <row r="32" spans="1:10" ht="15.6" x14ac:dyDescent="0.3">
      <c r="A32" s="19"/>
      <c r="B32" s="47" t="s">
        <v>34</v>
      </c>
      <c r="C32" s="61" t="s">
        <v>20</v>
      </c>
      <c r="D32" s="62" t="s">
        <v>48</v>
      </c>
      <c r="E32" s="31">
        <v>170</v>
      </c>
      <c r="F32" s="32">
        <f>0.17*165</f>
        <v>28.05</v>
      </c>
      <c r="G32" s="25">
        <v>47</v>
      </c>
      <c r="H32" s="25">
        <v>0.4</v>
      </c>
      <c r="I32" s="25">
        <v>0.4</v>
      </c>
      <c r="J32" s="26">
        <v>9.8000000000000007</v>
      </c>
    </row>
    <row r="33" spans="1:13" ht="15.6" x14ac:dyDescent="0.3">
      <c r="A33" s="19"/>
      <c r="B33" s="100" t="s">
        <v>17</v>
      </c>
      <c r="C33" s="65" t="s">
        <v>20</v>
      </c>
      <c r="D33" s="66" t="s">
        <v>49</v>
      </c>
      <c r="E33" s="101">
        <v>80</v>
      </c>
      <c r="F33" s="68">
        <f>45.45*0.08</f>
        <v>3.6360000000000001</v>
      </c>
      <c r="G33" s="69">
        <v>209.6</v>
      </c>
      <c r="H33" s="69">
        <v>6</v>
      </c>
      <c r="I33" s="69">
        <v>2.3199999999999998</v>
      </c>
      <c r="J33" s="70">
        <v>41.12</v>
      </c>
    </row>
    <row r="34" spans="1:13" ht="16.2" thickBot="1" x14ac:dyDescent="0.35">
      <c r="A34" s="53"/>
      <c r="B34" s="54"/>
      <c r="C34" s="55"/>
      <c r="D34" s="56"/>
      <c r="E34" s="57"/>
      <c r="F34" s="58">
        <v>51.02</v>
      </c>
      <c r="G34" s="59">
        <f>SUM(G31:G33)</f>
        <v>374.6</v>
      </c>
      <c r="H34" s="59">
        <f>SUM(H31:H33)</f>
        <v>12</v>
      </c>
      <c r="I34" s="59">
        <f>SUM(I31:I33)</f>
        <v>9.120000000000001</v>
      </c>
      <c r="J34" s="60">
        <f>SUM(J31:J33)</f>
        <v>59.12</v>
      </c>
    </row>
    <row r="35" spans="1:13" ht="15.6" x14ac:dyDescent="0.3">
      <c r="A35" s="15" t="s">
        <v>12</v>
      </c>
      <c r="B35" s="16" t="s">
        <v>13</v>
      </c>
      <c r="C35" s="42">
        <v>4</v>
      </c>
      <c r="D35" s="43" t="s">
        <v>38</v>
      </c>
      <c r="E35" s="17" t="s">
        <v>40</v>
      </c>
      <c r="F35" s="18">
        <f>46.71*60/100</f>
        <v>28.026</v>
      </c>
      <c r="G35" s="45">
        <v>8</v>
      </c>
      <c r="H35" s="45">
        <v>0.48</v>
      </c>
      <c r="I35" s="45">
        <v>0.06</v>
      </c>
      <c r="J35" s="46">
        <v>1.02</v>
      </c>
    </row>
    <row r="36" spans="1:13" ht="28.8" x14ac:dyDescent="0.3">
      <c r="A36" s="19"/>
      <c r="B36" s="28" t="s">
        <v>14</v>
      </c>
      <c r="C36" s="61">
        <v>33</v>
      </c>
      <c r="D36" s="62" t="s">
        <v>33</v>
      </c>
      <c r="E36" s="63" t="s">
        <v>60</v>
      </c>
      <c r="F36" s="32">
        <f>10.41*245/245+1.84</f>
        <v>12.25</v>
      </c>
      <c r="G36" s="25">
        <v>100</v>
      </c>
      <c r="H36" s="25">
        <v>1.82</v>
      </c>
      <c r="I36" s="25">
        <v>6.18</v>
      </c>
      <c r="J36" s="26">
        <v>7.73</v>
      </c>
    </row>
    <row r="37" spans="1:13" ht="15.6" x14ac:dyDescent="0.3">
      <c r="A37" s="19"/>
      <c r="B37" s="28" t="s">
        <v>15</v>
      </c>
      <c r="C37" s="61">
        <v>34</v>
      </c>
      <c r="D37" s="62" t="s">
        <v>61</v>
      </c>
      <c r="E37" s="63" t="s">
        <v>56</v>
      </c>
      <c r="F37" s="32">
        <f>86.71*50/95+7.85*230/185</f>
        <v>55.396301564722613</v>
      </c>
      <c r="G37" s="25">
        <v>509.83</v>
      </c>
      <c r="H37" s="25">
        <v>23.98</v>
      </c>
      <c r="I37" s="25">
        <v>26.11</v>
      </c>
      <c r="J37" s="26">
        <v>45.22</v>
      </c>
    </row>
    <row r="38" spans="1:13" ht="28.8" x14ac:dyDescent="0.3">
      <c r="A38" s="19"/>
      <c r="B38" s="28" t="s">
        <v>23</v>
      </c>
      <c r="C38" s="61">
        <v>17</v>
      </c>
      <c r="D38" s="62" t="s">
        <v>52</v>
      </c>
      <c r="E38" s="63" t="s">
        <v>53</v>
      </c>
      <c r="F38" s="32">
        <v>4.29</v>
      </c>
      <c r="G38" s="25">
        <v>80</v>
      </c>
      <c r="H38" s="25">
        <v>0.44</v>
      </c>
      <c r="I38" s="25">
        <v>0</v>
      </c>
      <c r="J38" s="26">
        <v>18.899999999999999</v>
      </c>
      <c r="M38" t="s">
        <v>30</v>
      </c>
    </row>
    <row r="39" spans="1:13" ht="15.6" x14ac:dyDescent="0.3">
      <c r="A39" s="19"/>
      <c r="B39" s="28" t="s">
        <v>17</v>
      </c>
      <c r="C39" s="61" t="s">
        <v>20</v>
      </c>
      <c r="D39" s="30" t="s">
        <v>21</v>
      </c>
      <c r="E39" s="63" t="s">
        <v>42</v>
      </c>
      <c r="F39" s="32">
        <f>43.64*0.03</f>
        <v>1.3091999999999999</v>
      </c>
      <c r="G39" s="25">
        <f>63*30/30</f>
        <v>63</v>
      </c>
      <c r="H39" s="25">
        <f>1.47*30/30</f>
        <v>1.47</v>
      </c>
      <c r="I39" s="25">
        <f>0.3*30/30</f>
        <v>0.3</v>
      </c>
      <c r="J39" s="26">
        <f>13.44*30/30</f>
        <v>13.44</v>
      </c>
    </row>
    <row r="40" spans="1:13" ht="15.6" x14ac:dyDescent="0.3">
      <c r="A40" s="19"/>
      <c r="B40" s="64" t="s">
        <v>16</v>
      </c>
      <c r="C40" s="65" t="s">
        <v>20</v>
      </c>
      <c r="D40" s="30" t="s">
        <v>24</v>
      </c>
      <c r="E40" s="63" t="s">
        <v>42</v>
      </c>
      <c r="F40" s="32">
        <f>36.36*0.03</f>
        <v>1.0908</v>
      </c>
      <c r="G40" s="25">
        <f>70.5*30/30</f>
        <v>70.5</v>
      </c>
      <c r="H40" s="25">
        <f>2.28*30/30</f>
        <v>2.2799999999999998</v>
      </c>
      <c r="I40" s="25">
        <f>0.24*30/30</f>
        <v>0.23999999999999996</v>
      </c>
      <c r="J40" s="26">
        <f>14.76*30/30</f>
        <v>14.76</v>
      </c>
    </row>
    <row r="41" spans="1:13" ht="16.2" thickBot="1" x14ac:dyDescent="0.35">
      <c r="A41" s="71"/>
      <c r="B41" s="54"/>
      <c r="C41" s="72"/>
      <c r="D41" s="72"/>
      <c r="E41" s="73"/>
      <c r="F41" s="74">
        <v>102.06</v>
      </c>
      <c r="G41" s="75">
        <f>SUM(G35:G40)</f>
        <v>831.32999999999993</v>
      </c>
      <c r="H41" s="75">
        <f>SUM(H35:H40)</f>
        <v>30.470000000000002</v>
      </c>
      <c r="I41" s="75">
        <f>SUM(I35:I40)</f>
        <v>32.89</v>
      </c>
      <c r="J41" s="76">
        <f>SUM(J35:J40)</f>
        <v>101.07000000000001</v>
      </c>
    </row>
    <row r="42" spans="1:13" x14ac:dyDescent="0.3">
      <c r="A42" s="5" t="s">
        <v>28</v>
      </c>
    </row>
    <row r="43" spans="1:13" x14ac:dyDescent="0.3">
      <c r="A43" s="5" t="s">
        <v>31</v>
      </c>
    </row>
  </sheetData>
  <mergeCells count="3">
    <mergeCell ref="B1:D1"/>
    <mergeCell ref="G1:H1"/>
    <mergeCell ref="I1:J1"/>
  </mergeCells>
  <pageMargins left="0.23622047244094491" right="0.23622047244094491" top="0.15748031496062992" bottom="0.15748031496062992" header="0.11811023622047245" footer="0.11811023622047245"/>
  <pageSetup paperSize="9" scale="77" orientation="portrait" r:id="rId1"/>
  <ignoredErrors>
    <ignoredError sqref="F32 F10 G9 G30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29"/>
  <sheetViews>
    <sheetView workbookViewId="0">
      <selection activeCell="B25" sqref="B25"/>
    </sheetView>
  </sheetViews>
  <sheetFormatPr defaultColWidth="8.88671875" defaultRowHeight="14.4" x14ac:dyDescent="0.3"/>
  <cols>
    <col min="1" max="1" width="9.33203125" style="6" customWidth="1"/>
    <col min="2" max="2" width="11.5546875" style="6" customWidth="1"/>
    <col min="3" max="3" width="7.109375" style="6" bestFit="1" customWidth="1"/>
    <col min="4" max="4" width="24.6640625" style="6" customWidth="1"/>
    <col min="5" max="5" width="8.5546875" style="7" customWidth="1"/>
    <col min="6" max="6" width="7.109375" style="7" bestFit="1" customWidth="1"/>
    <col min="7" max="7" width="6.21875" style="6" customWidth="1"/>
    <col min="8" max="8" width="6.109375" style="6" bestFit="1" customWidth="1"/>
    <col min="9" max="9" width="6.5546875" style="6" customWidth="1"/>
    <col min="10" max="10" width="8.77734375" style="6" customWidth="1"/>
    <col min="11" max="16384" width="8.88671875" style="6"/>
  </cols>
  <sheetData>
    <row r="1" spans="1:10" ht="28.95" customHeight="1" x14ac:dyDescent="0.3">
      <c r="A1" s="6" t="s">
        <v>0</v>
      </c>
      <c r="B1" s="119" t="s">
        <v>63</v>
      </c>
      <c r="C1" s="120"/>
      <c r="D1" s="121"/>
      <c r="E1" s="7" t="s">
        <v>26</v>
      </c>
      <c r="F1" s="8"/>
      <c r="G1" s="124" t="s">
        <v>41</v>
      </c>
      <c r="H1" s="125"/>
      <c r="I1" s="126">
        <v>45198</v>
      </c>
      <c r="J1" s="126"/>
    </row>
    <row r="2" spans="1:10" ht="15" thickBot="1" x14ac:dyDescent="0.35">
      <c r="A2" s="11"/>
      <c r="B2" s="12" t="s">
        <v>29</v>
      </c>
      <c r="C2" s="11"/>
      <c r="D2" s="11"/>
      <c r="E2" s="13"/>
      <c r="F2" s="13"/>
      <c r="G2" s="11"/>
      <c r="H2" s="11"/>
      <c r="I2" s="11"/>
      <c r="J2" s="11"/>
    </row>
    <row r="3" spans="1:10" ht="15" thickBot="1" x14ac:dyDescent="0.35">
      <c r="A3" s="96" t="s">
        <v>1</v>
      </c>
      <c r="B3" s="97" t="s">
        <v>2</v>
      </c>
      <c r="C3" s="97" t="s">
        <v>18</v>
      </c>
      <c r="D3" s="97" t="s">
        <v>3</v>
      </c>
      <c r="E3" s="97" t="s">
        <v>19</v>
      </c>
      <c r="F3" s="97" t="s">
        <v>4</v>
      </c>
      <c r="G3" s="97" t="s">
        <v>5</v>
      </c>
      <c r="H3" s="97" t="s">
        <v>6</v>
      </c>
      <c r="I3" s="97" t="s">
        <v>7</v>
      </c>
      <c r="J3" s="98" t="s">
        <v>8</v>
      </c>
    </row>
    <row r="4" spans="1:10" s="9" customFormat="1" ht="28.8" x14ac:dyDescent="0.3">
      <c r="A4" s="122" t="s">
        <v>9</v>
      </c>
      <c r="B4" s="103" t="s">
        <v>10</v>
      </c>
      <c r="C4" s="21">
        <v>14</v>
      </c>
      <c r="D4" s="22" t="s">
        <v>43</v>
      </c>
      <c r="E4" s="23" t="s">
        <v>54</v>
      </c>
      <c r="F4" s="24">
        <f>38.73*95/90</f>
        <v>40.881666666666668</v>
      </c>
      <c r="G4" s="51">
        <v>211</v>
      </c>
      <c r="H4" s="51">
        <v>16.059999999999999</v>
      </c>
      <c r="I4" s="51">
        <v>10.5</v>
      </c>
      <c r="J4" s="52">
        <v>10.25</v>
      </c>
    </row>
    <row r="5" spans="1:10" s="9" customFormat="1" ht="15.6" x14ac:dyDescent="0.3">
      <c r="A5" s="123"/>
      <c r="B5" s="104" t="s">
        <v>32</v>
      </c>
      <c r="C5" s="48">
        <v>64</v>
      </c>
      <c r="D5" s="49" t="s">
        <v>44</v>
      </c>
      <c r="E5" s="50">
        <v>160</v>
      </c>
      <c r="F5" s="24">
        <f>21.55*160/150</f>
        <v>22.986666666666668</v>
      </c>
      <c r="G5" s="51">
        <v>118</v>
      </c>
      <c r="H5" s="51">
        <v>3.05</v>
      </c>
      <c r="I5" s="51">
        <v>5.51</v>
      </c>
      <c r="J5" s="52">
        <v>11.7</v>
      </c>
    </row>
    <row r="6" spans="1:10" ht="14.4" customHeight="1" x14ac:dyDescent="0.3">
      <c r="A6" s="111"/>
      <c r="B6" s="105" t="s">
        <v>34</v>
      </c>
      <c r="C6" s="21" t="s">
        <v>20</v>
      </c>
      <c r="D6" s="22" t="s">
        <v>45</v>
      </c>
      <c r="E6" s="50">
        <v>26</v>
      </c>
      <c r="F6" s="24">
        <f>270*0.026*1.33</f>
        <v>9.3366000000000007</v>
      </c>
      <c r="G6" s="25">
        <v>48</v>
      </c>
      <c r="H6" s="25">
        <v>1.52</v>
      </c>
      <c r="I6" s="25">
        <v>0.16</v>
      </c>
      <c r="J6" s="26">
        <v>9.7200000000000006</v>
      </c>
    </row>
    <row r="7" spans="1:10" ht="15.6" x14ac:dyDescent="0.3">
      <c r="A7" s="111"/>
      <c r="B7" s="106" t="s">
        <v>11</v>
      </c>
      <c r="C7" s="29">
        <v>57</v>
      </c>
      <c r="D7" s="30" t="s">
        <v>46</v>
      </c>
      <c r="E7" s="31">
        <v>200</v>
      </c>
      <c r="F7" s="32">
        <v>1.73</v>
      </c>
      <c r="G7" s="69">
        <v>41</v>
      </c>
      <c r="H7" s="69">
        <v>0</v>
      </c>
      <c r="I7" s="69">
        <v>0</v>
      </c>
      <c r="J7" s="70">
        <v>10.01</v>
      </c>
    </row>
    <row r="8" spans="1:10" ht="15.6" x14ac:dyDescent="0.3">
      <c r="A8" s="111"/>
      <c r="B8" s="106" t="s">
        <v>16</v>
      </c>
      <c r="C8" s="29" t="s">
        <v>20</v>
      </c>
      <c r="D8" s="30" t="s">
        <v>21</v>
      </c>
      <c r="E8" s="31">
        <v>32</v>
      </c>
      <c r="F8" s="32">
        <v>1.67</v>
      </c>
      <c r="G8" s="25">
        <f>42*32/20</f>
        <v>67.2</v>
      </c>
      <c r="H8" s="25">
        <f>0.98*32/20</f>
        <v>1.5680000000000001</v>
      </c>
      <c r="I8" s="25">
        <f>0.2*32/20</f>
        <v>0.32</v>
      </c>
      <c r="J8" s="26">
        <f>8.96*32/20</f>
        <v>14.336000000000002</v>
      </c>
    </row>
    <row r="9" spans="1:10" ht="15.6" x14ac:dyDescent="0.3">
      <c r="A9" s="112"/>
      <c r="B9" s="107" t="s">
        <v>17</v>
      </c>
      <c r="C9" s="29" t="s">
        <v>20</v>
      </c>
      <c r="D9" s="30" t="s">
        <v>24</v>
      </c>
      <c r="E9" s="31">
        <v>32</v>
      </c>
      <c r="F9" s="32">
        <f>43.63*0.032</f>
        <v>1.3961600000000001</v>
      </c>
      <c r="G9" s="25">
        <f>47*33/20</f>
        <v>77.55</v>
      </c>
      <c r="H9" s="25">
        <f>1.52*33/20</f>
        <v>2.508</v>
      </c>
      <c r="I9" s="25">
        <f>0.16*33/20</f>
        <v>0.26400000000000001</v>
      </c>
      <c r="J9" s="26">
        <f>9.84*33/20</f>
        <v>16.235999999999997</v>
      </c>
    </row>
    <row r="10" spans="1:10" ht="16.2" thickBot="1" x14ac:dyDescent="0.35">
      <c r="A10" s="113"/>
      <c r="B10" s="108"/>
      <c r="C10" s="79"/>
      <c r="D10" s="80"/>
      <c r="E10" s="81"/>
      <c r="F10" s="82">
        <f>SUM(F4:F9)</f>
        <v>78.001093333333344</v>
      </c>
      <c r="G10" s="83">
        <f>SUM(G4:G8)</f>
        <v>485.2</v>
      </c>
      <c r="H10" s="83">
        <f>SUM(H4:H8)</f>
        <v>22.198</v>
      </c>
      <c r="I10" s="83">
        <f>SUM(I4:I8)</f>
        <v>16.489999999999998</v>
      </c>
      <c r="J10" s="84">
        <f>SUM(J4:J8)</f>
        <v>56.016000000000005</v>
      </c>
    </row>
    <row r="11" spans="1:10" ht="15.6" customHeight="1" x14ac:dyDescent="0.3">
      <c r="A11" s="114"/>
      <c r="B11" s="109" t="s">
        <v>13</v>
      </c>
      <c r="C11" s="42">
        <v>4</v>
      </c>
      <c r="D11" s="43" t="s">
        <v>38</v>
      </c>
      <c r="E11" s="17" t="s">
        <v>39</v>
      </c>
      <c r="F11" s="18">
        <f>37.27*40/60</f>
        <v>24.846666666666671</v>
      </c>
      <c r="G11" s="45">
        <f>8*40/60</f>
        <v>5.333333333333333</v>
      </c>
      <c r="H11" s="45">
        <f>0.48*40/60</f>
        <v>0.32</v>
      </c>
      <c r="I11" s="45">
        <f>0.06*40/60</f>
        <v>0.04</v>
      </c>
      <c r="J11" s="46">
        <f>1.02*40/60</f>
        <v>0.67999999999999994</v>
      </c>
    </row>
    <row r="12" spans="1:10" ht="15.6" x14ac:dyDescent="0.3">
      <c r="A12" s="111"/>
      <c r="B12" s="106" t="s">
        <v>15</v>
      </c>
      <c r="C12" s="61">
        <v>34</v>
      </c>
      <c r="D12" s="62" t="s">
        <v>51</v>
      </c>
      <c r="E12" s="63" t="s">
        <v>57</v>
      </c>
      <c r="F12" s="32">
        <f>98.09*30/81+12.66*220/159</f>
        <v>53.846610761705108</v>
      </c>
      <c r="G12" s="25">
        <v>437</v>
      </c>
      <c r="H12" s="25">
        <v>20.55</v>
      </c>
      <c r="I12" s="25">
        <v>22.38</v>
      </c>
      <c r="J12" s="26">
        <v>38.76</v>
      </c>
    </row>
    <row r="13" spans="1:10" ht="15.6" x14ac:dyDescent="0.3">
      <c r="A13" s="111"/>
      <c r="B13" s="110" t="s">
        <v>23</v>
      </c>
      <c r="C13" s="48">
        <v>25</v>
      </c>
      <c r="D13" s="49" t="s">
        <v>37</v>
      </c>
      <c r="E13" s="50">
        <v>200</v>
      </c>
      <c r="F13" s="24">
        <v>17.82</v>
      </c>
      <c r="G13" s="51">
        <v>136</v>
      </c>
      <c r="H13" s="51">
        <v>0.6</v>
      </c>
      <c r="I13" s="51">
        <v>0</v>
      </c>
      <c r="J13" s="52">
        <v>33</v>
      </c>
    </row>
    <row r="14" spans="1:10" ht="15.6" x14ac:dyDescent="0.3">
      <c r="A14" s="111"/>
      <c r="B14" s="110" t="s">
        <v>17</v>
      </c>
      <c r="C14" s="77" t="s">
        <v>20</v>
      </c>
      <c r="D14" s="78" t="s">
        <v>24</v>
      </c>
      <c r="E14" s="31">
        <v>37</v>
      </c>
      <c r="F14" s="32">
        <f>43.63*0.037</f>
        <v>1.6143099999999999</v>
      </c>
      <c r="G14" s="25">
        <f>47*37/20</f>
        <v>86.95</v>
      </c>
      <c r="H14" s="25">
        <f>1.52*37/20</f>
        <v>2.8120000000000003</v>
      </c>
      <c r="I14" s="25">
        <f>0.16*37/20</f>
        <v>0.29599999999999999</v>
      </c>
      <c r="J14" s="26">
        <f>9.84*37/20</f>
        <v>18.204000000000001</v>
      </c>
    </row>
    <row r="15" spans="1:10" ht="15.6" x14ac:dyDescent="0.3">
      <c r="A15" s="111"/>
      <c r="B15" s="110" t="s">
        <v>16</v>
      </c>
      <c r="C15" s="77" t="s">
        <v>20</v>
      </c>
      <c r="D15" s="78" t="s">
        <v>21</v>
      </c>
      <c r="E15" s="31">
        <v>36</v>
      </c>
      <c r="F15" s="32">
        <v>1.87</v>
      </c>
      <c r="G15" s="25">
        <f>42*36/20</f>
        <v>75.599999999999994</v>
      </c>
      <c r="H15" s="25">
        <f>0.98*36/20</f>
        <v>1.764</v>
      </c>
      <c r="I15" s="25">
        <f>0.2*36/20</f>
        <v>0.36</v>
      </c>
      <c r="J15" s="26">
        <f>8.96*36/20</f>
        <v>16.128000000000004</v>
      </c>
    </row>
    <row r="16" spans="1:10" ht="16.2" thickBot="1" x14ac:dyDescent="0.35">
      <c r="A16" s="113"/>
      <c r="B16" s="108"/>
      <c r="C16" s="79"/>
      <c r="D16" s="80"/>
      <c r="E16" s="81"/>
      <c r="F16" s="85">
        <f>SUM(F11:F15)</f>
        <v>99.997587428371773</v>
      </c>
      <c r="G16" s="83">
        <f>SUM(G11:G15)</f>
        <v>740.88333333333333</v>
      </c>
      <c r="H16" s="83">
        <f>SUM(H11:H15)</f>
        <v>26.046000000000003</v>
      </c>
      <c r="I16" s="83">
        <f>SUM(I11:I15)</f>
        <v>23.075999999999997</v>
      </c>
      <c r="J16" s="84">
        <f>SUM(J11:J15)</f>
        <v>106.77200000000001</v>
      </c>
    </row>
    <row r="17" spans="1:10" ht="15.6" x14ac:dyDescent="0.3">
      <c r="A17" s="115"/>
      <c r="B17" s="109" t="s">
        <v>13</v>
      </c>
      <c r="C17" s="42">
        <v>4</v>
      </c>
      <c r="D17" s="43" t="s">
        <v>38</v>
      </c>
      <c r="E17" s="17" t="s">
        <v>62</v>
      </c>
      <c r="F17" s="18">
        <f>37.27*55/60</f>
        <v>34.164166666666674</v>
      </c>
      <c r="G17" s="45">
        <f>8*55/60</f>
        <v>7.333333333333333</v>
      </c>
      <c r="H17" s="45">
        <f>0.48*55/60</f>
        <v>0.44</v>
      </c>
      <c r="I17" s="45">
        <f>0.06*55/60</f>
        <v>5.5E-2</v>
      </c>
      <c r="J17" s="46">
        <f>1.02*55/60</f>
        <v>0.93500000000000005</v>
      </c>
    </row>
    <row r="18" spans="1:10" ht="28.8" x14ac:dyDescent="0.3">
      <c r="A18" s="111"/>
      <c r="B18" s="106" t="s">
        <v>14</v>
      </c>
      <c r="C18" s="61">
        <v>33</v>
      </c>
      <c r="D18" s="62" t="s">
        <v>33</v>
      </c>
      <c r="E18" s="63" t="s">
        <v>50</v>
      </c>
      <c r="F18" s="32">
        <f>13.84*245/245+2.45</f>
        <v>16.29</v>
      </c>
      <c r="G18" s="25">
        <v>100</v>
      </c>
      <c r="H18" s="25">
        <v>1.82</v>
      </c>
      <c r="I18" s="25">
        <v>6.18</v>
      </c>
      <c r="J18" s="26">
        <v>7.73</v>
      </c>
    </row>
    <row r="19" spans="1:10" ht="15.6" x14ac:dyDescent="0.3">
      <c r="A19" s="111"/>
      <c r="B19" s="106" t="s">
        <v>15</v>
      </c>
      <c r="C19" s="61">
        <v>34</v>
      </c>
      <c r="D19" s="62" t="s">
        <v>51</v>
      </c>
      <c r="E19" s="63" t="s">
        <v>57</v>
      </c>
      <c r="F19" s="32">
        <f>98.09*30/81+12.66*220/159</f>
        <v>53.846610761705108</v>
      </c>
      <c r="G19" s="25">
        <v>437</v>
      </c>
      <c r="H19" s="25">
        <v>20.55</v>
      </c>
      <c r="I19" s="25">
        <v>22.38</v>
      </c>
      <c r="J19" s="26">
        <v>38.76</v>
      </c>
    </row>
    <row r="20" spans="1:10" ht="15.6" x14ac:dyDescent="0.3">
      <c r="A20" s="111"/>
      <c r="B20" s="110" t="s">
        <v>23</v>
      </c>
      <c r="C20" s="48">
        <v>25</v>
      </c>
      <c r="D20" s="49" t="s">
        <v>37</v>
      </c>
      <c r="E20" s="50">
        <v>200</v>
      </c>
      <c r="F20" s="24">
        <v>17.82</v>
      </c>
      <c r="G20" s="51">
        <v>136</v>
      </c>
      <c r="H20" s="51">
        <v>0.6</v>
      </c>
      <c r="I20" s="51">
        <v>0</v>
      </c>
      <c r="J20" s="52">
        <v>33</v>
      </c>
    </row>
    <row r="21" spans="1:10" ht="15.6" x14ac:dyDescent="0.3">
      <c r="A21" s="111"/>
      <c r="B21" s="110" t="s">
        <v>17</v>
      </c>
      <c r="C21" s="77" t="s">
        <v>20</v>
      </c>
      <c r="D21" s="78" t="s">
        <v>24</v>
      </c>
      <c r="E21" s="31">
        <v>30</v>
      </c>
      <c r="F21" s="32">
        <f>43.63*0.03</f>
        <v>1.3089</v>
      </c>
      <c r="G21" s="25">
        <f>70.5*30/30</f>
        <v>70.5</v>
      </c>
      <c r="H21" s="25">
        <f>2.28*30/30</f>
        <v>2.2799999999999998</v>
      </c>
      <c r="I21" s="25">
        <f>0.24*30/30</f>
        <v>0.23999999999999996</v>
      </c>
      <c r="J21" s="26">
        <f>14.76*30/30</f>
        <v>14.76</v>
      </c>
    </row>
    <row r="22" spans="1:10" ht="15.6" x14ac:dyDescent="0.3">
      <c r="A22" s="111"/>
      <c r="B22" s="110" t="s">
        <v>16</v>
      </c>
      <c r="C22" s="77" t="s">
        <v>20</v>
      </c>
      <c r="D22" s="78" t="s">
        <v>21</v>
      </c>
      <c r="E22" s="31">
        <v>30</v>
      </c>
      <c r="F22" s="32">
        <f>52.37*0.03</f>
        <v>1.5710999999999999</v>
      </c>
      <c r="G22" s="25">
        <f>63*30/30</f>
        <v>63</v>
      </c>
      <c r="H22" s="25">
        <f>1.47*30/30</f>
        <v>1.47</v>
      </c>
      <c r="I22" s="25">
        <f>0.3*30/30</f>
        <v>0.3</v>
      </c>
      <c r="J22" s="26">
        <f>13.44*30/30</f>
        <v>13.44</v>
      </c>
    </row>
    <row r="23" spans="1:10" ht="16.2" thickBot="1" x14ac:dyDescent="0.35">
      <c r="A23" s="113"/>
      <c r="B23" s="86"/>
      <c r="C23" s="86"/>
      <c r="D23" s="86"/>
      <c r="E23" s="87"/>
      <c r="F23" s="88">
        <f>SUM(F17:F22)</f>
        <v>125.00077742837178</v>
      </c>
      <c r="G23" s="83">
        <f>SUM(G17:G22)</f>
        <v>813.83333333333337</v>
      </c>
      <c r="H23" s="83">
        <f>SUM(H18:H22)</f>
        <v>26.720000000000002</v>
      </c>
      <c r="I23" s="83">
        <f>SUM(I18:I22)</f>
        <v>29.099999999999998</v>
      </c>
      <c r="J23" s="84">
        <f>SUM(J18:J22)</f>
        <v>107.69</v>
      </c>
    </row>
    <row r="24" spans="1:10" x14ac:dyDescent="0.3">
      <c r="A24"/>
      <c r="B24"/>
      <c r="C24"/>
      <c r="D24"/>
      <c r="E24"/>
      <c r="F24"/>
      <c r="G24"/>
      <c r="H24"/>
      <c r="I24"/>
      <c r="J24"/>
    </row>
    <row r="25" spans="1:10" customFormat="1" ht="15.6" customHeight="1" x14ac:dyDescent="0.3">
      <c r="A25" s="6"/>
      <c r="B25" s="6"/>
      <c r="C25" s="6"/>
      <c r="D25" s="6"/>
      <c r="E25" s="7"/>
      <c r="F25" s="7"/>
      <c r="G25" s="6"/>
      <c r="H25" s="6"/>
      <c r="I25" s="6"/>
      <c r="J25" s="6"/>
    </row>
    <row r="26" spans="1:10" customFormat="1" ht="15.6" x14ac:dyDescent="0.3">
      <c r="A26" s="14" t="s">
        <v>35</v>
      </c>
      <c r="B26" s="14"/>
      <c r="C26" s="14"/>
      <c r="D26" s="14"/>
      <c r="E26" s="7"/>
      <c r="F26" s="7"/>
      <c r="G26" s="6"/>
      <c r="H26" s="6"/>
      <c r="I26" s="6"/>
      <c r="J26" s="6"/>
    </row>
    <row r="27" spans="1:10" customFormat="1" ht="15.6" x14ac:dyDescent="0.3">
      <c r="A27" s="14" t="s">
        <v>36</v>
      </c>
      <c r="B27" s="14"/>
      <c r="C27" s="14"/>
      <c r="D27" s="14"/>
      <c r="E27" s="7"/>
      <c r="F27" s="7"/>
      <c r="G27" s="6"/>
      <c r="H27" s="6"/>
      <c r="I27" s="6"/>
      <c r="J27" s="6"/>
    </row>
    <row r="28" spans="1:10" customFormat="1" x14ac:dyDescent="0.3">
      <c r="A28" s="6"/>
      <c r="B28" s="6"/>
      <c r="C28" s="6"/>
      <c r="D28" s="6"/>
      <c r="E28" s="7"/>
      <c r="F28" s="7"/>
      <c r="G28" s="6"/>
      <c r="H28" s="6"/>
      <c r="I28" s="6"/>
      <c r="J28" s="6"/>
    </row>
    <row r="29" spans="1:10" customFormat="1" x14ac:dyDescent="0.3">
      <c r="A29" s="6"/>
      <c r="B29" s="6"/>
      <c r="C29" s="6"/>
      <c r="D29" s="6"/>
      <c r="E29" s="7"/>
      <c r="F29" s="7"/>
      <c r="G29" s="6"/>
      <c r="H29" s="6"/>
      <c r="I29" s="6"/>
      <c r="J29" s="6"/>
    </row>
  </sheetData>
  <mergeCells count="4">
    <mergeCell ref="B1:D1"/>
    <mergeCell ref="A4:A5"/>
    <mergeCell ref="G1:H1"/>
    <mergeCell ref="I1:J1"/>
  </mergeCells>
  <pageMargins left="0.11811023622047245" right="0.11811023622047245" top="0.15748031496062992" bottom="0.15748031496062992" header="0.11811023622047245" footer="0.11811023622047245"/>
  <pageSetup paperSize="9" scale="97" orientation="portrait" r:id="rId1"/>
  <ignoredErrors>
    <ignoredError sqref="F11:F12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бесплатно</vt:lpstr>
      <vt:lpstr>платно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 Киреев</cp:lastModifiedBy>
  <cp:lastPrinted>2023-09-14T08:26:41Z</cp:lastPrinted>
  <dcterms:created xsi:type="dcterms:W3CDTF">2015-06-05T18:19:34Z</dcterms:created>
  <dcterms:modified xsi:type="dcterms:W3CDTF">2023-09-28T02:34:55Z</dcterms:modified>
</cp:coreProperties>
</file>