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9B0B5FF1-9FF2-4199-8DD7-03A54847B1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J23" i="2" l="1"/>
  <c r="I23" i="2"/>
  <c r="H23" i="2"/>
  <c r="G23" i="2"/>
  <c r="J22" i="2"/>
  <c r="I22" i="2"/>
  <c r="H22" i="2"/>
  <c r="G22" i="2"/>
  <c r="F23" i="2"/>
  <c r="F20" i="2"/>
  <c r="F19" i="2"/>
  <c r="J16" i="2"/>
  <c r="I16" i="2"/>
  <c r="H16" i="2"/>
  <c r="G16" i="2"/>
  <c r="J15" i="2"/>
  <c r="I15" i="2"/>
  <c r="H15" i="2"/>
  <c r="G15" i="2"/>
  <c r="F16" i="2"/>
  <c r="F13" i="2"/>
  <c r="J10" i="2"/>
  <c r="I10" i="2"/>
  <c r="H10" i="2"/>
  <c r="G10" i="2"/>
  <c r="J9" i="2"/>
  <c r="I9" i="2"/>
  <c r="H9" i="2"/>
  <c r="G9" i="2"/>
  <c r="J7" i="2"/>
  <c r="I7" i="2"/>
  <c r="H7" i="2"/>
  <c r="G7" i="2"/>
  <c r="F10" i="2"/>
  <c r="F7" i="2"/>
  <c r="F6" i="2"/>
  <c r="F4" i="2"/>
  <c r="F39" i="1"/>
  <c r="F38" i="1"/>
  <c r="J31" i="1"/>
  <c r="I31" i="1"/>
  <c r="H31" i="1"/>
  <c r="G31" i="1"/>
  <c r="J30" i="1"/>
  <c r="I30" i="1"/>
  <c r="H30" i="1"/>
  <c r="G30" i="1"/>
  <c r="F30" i="1"/>
  <c r="F28" i="1"/>
  <c r="I7" i="1"/>
  <c r="H7" i="1"/>
  <c r="G7" i="1"/>
  <c r="F27" i="1"/>
  <c r="F25" i="1"/>
  <c r="F18" i="1"/>
  <c r="F17" i="1"/>
  <c r="G9" i="1"/>
  <c r="J10" i="1"/>
  <c r="I10" i="1"/>
  <c r="H10" i="1"/>
  <c r="G10" i="1"/>
  <c r="J9" i="1"/>
  <c r="I9" i="1"/>
  <c r="H9" i="1"/>
  <c r="F10" i="1"/>
  <c r="F7" i="1"/>
  <c r="F6" i="1"/>
  <c r="F4" i="1"/>
  <c r="J4" i="2"/>
  <c r="I4" i="2"/>
  <c r="H4" i="2"/>
  <c r="G4" i="2"/>
  <c r="J6" i="2"/>
  <c r="I6" i="2"/>
  <c r="H6" i="2"/>
  <c r="G6" i="2"/>
  <c r="J35" i="1"/>
  <c r="I35" i="1"/>
  <c r="H35" i="1"/>
  <c r="G35" i="1"/>
  <c r="F35" i="1"/>
  <c r="F34" i="1"/>
  <c r="I28" i="1"/>
  <c r="H28" i="1"/>
  <c r="G28" i="1"/>
  <c r="J27" i="1"/>
  <c r="I27" i="1"/>
  <c r="H27" i="1"/>
  <c r="G27" i="1"/>
  <c r="F29" i="1"/>
  <c r="F13" i="1"/>
  <c r="G11" i="1"/>
  <c r="J7" i="1"/>
  <c r="J6" i="1"/>
  <c r="I6" i="1"/>
  <c r="H6" i="1"/>
  <c r="G6" i="1"/>
  <c r="J29" i="1"/>
  <c r="I29" i="1"/>
  <c r="H29" i="1"/>
  <c r="G29" i="1"/>
  <c r="J25" i="1"/>
  <c r="I25" i="1"/>
  <c r="H25" i="1"/>
  <c r="G25" i="1"/>
  <c r="J4" i="1"/>
  <c r="I4" i="1"/>
  <c r="H4" i="1"/>
  <c r="G4" i="1"/>
  <c r="F17" i="2" l="1"/>
  <c r="F11" i="1"/>
  <c r="F32" i="1"/>
  <c r="F18" i="2"/>
  <c r="F16" i="1" l="1"/>
  <c r="F8" i="2"/>
  <c r="F42" i="1"/>
  <c r="F41" i="1"/>
  <c r="F21" i="1"/>
  <c r="F20" i="1"/>
  <c r="F8" i="1"/>
  <c r="J36" i="1"/>
  <c r="I36" i="1"/>
  <c r="H36" i="1"/>
  <c r="G36" i="1"/>
  <c r="J32" i="1"/>
  <c r="I32" i="1"/>
  <c r="H32" i="1"/>
  <c r="G32" i="1"/>
  <c r="J15" i="1"/>
  <c r="I15" i="1"/>
  <c r="H15" i="1"/>
  <c r="G15" i="1"/>
  <c r="F11" i="2" l="1"/>
  <c r="J24" i="2" l="1"/>
  <c r="I24" i="2"/>
  <c r="H24" i="2"/>
  <c r="G24" i="2"/>
  <c r="G22" i="1" l="1"/>
  <c r="G17" i="2" l="1"/>
  <c r="I43" i="1"/>
  <c r="G43" i="1"/>
  <c r="J22" i="1"/>
  <c r="H22" i="1"/>
  <c r="J11" i="1"/>
  <c r="I11" i="1"/>
  <c r="H11" i="1"/>
  <c r="H17" i="2" l="1"/>
  <c r="G11" i="2"/>
  <c r="J17" i="2"/>
  <c r="H11" i="2"/>
  <c r="I11" i="2"/>
  <c r="J11" i="2"/>
  <c r="I17" i="2"/>
  <c r="J43" i="1"/>
  <c r="I22" i="1"/>
  <c r="H43" i="1"/>
</calcChain>
</file>

<file path=xl/sharedStrings.xml><?xml version="1.0" encoding="utf-8"?>
<sst xmlns="http://schemas.openxmlformats.org/spreadsheetml/2006/main" count="193" uniqueCount="59">
  <si>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</si>
  <si>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</si>
  <si>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</si>
  <si>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</si>
  <si>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</si>
  <si>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</si>
  <si>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</si>
  <si>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</si>
  <si>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</si>
  <si>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</si>
  <si>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</si>
  <si>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</si>
  <si>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</si>
  <si>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</si>
  <si>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</si>
  <si>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</si>
  <si>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</si>
  <si>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</si>
  <si>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</si>
  <si>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</si>
  <si>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</si>
  <si>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</si>
  <si>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добавка</t>
  </si>
  <si>
    <t>Полдник</t>
  </si>
  <si>
    <t>напиток</t>
  </si>
  <si>
    <t>Хлеб пшеничный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</si>
  <si>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</si>
  <si>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</si>
  <si>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</si>
  <si>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</si>
  <si>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</si>
  <si>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</si>
  <si>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Огурец соленый</t>
  </si>
  <si>
    <t>Лепешка с сыром</t>
  </si>
  <si>
    <t>200</t>
  </si>
  <si>
    <t>Сок</t>
  </si>
  <si>
    <t>День  3</t>
  </si>
  <si>
    <t>День 3</t>
  </si>
  <si>
    <t>60</t>
  </si>
  <si>
    <t>Каша пшенная молочная жидкая</t>
  </si>
  <si>
    <t>Чай с лимоном</t>
  </si>
  <si>
    <t>Масло сливочное</t>
  </si>
  <si>
    <t xml:space="preserve">Сыр </t>
  </si>
  <si>
    <t>Творожное печенье</t>
  </si>
  <si>
    <t>Напиток "Витошка" с витаминами</t>
  </si>
  <si>
    <t>Фрукт</t>
  </si>
  <si>
    <t>Суп картофельный с мясными фрикадельками из говядины</t>
  </si>
  <si>
    <t>250</t>
  </si>
  <si>
    <t>Капуста тушеная с рисом и мясом птицы</t>
  </si>
  <si>
    <t>50</t>
  </si>
  <si>
    <t>Рагу из овощей с мясом</t>
  </si>
  <si>
    <t>Компот из сухофруктов</t>
  </si>
  <si>
    <t>240/10</t>
  </si>
  <si>
    <t>167/33</t>
  </si>
  <si>
    <t>230/20</t>
  </si>
  <si>
    <t>210/30</t>
  </si>
  <si>
    <t>240/40</t>
  </si>
  <si>
    <t>Яблоко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</si>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</sst>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2" fontId="0" fillId="0" borderId="5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3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5" fillId="0" borderId="15" xfId="0" applyFont="1" applyBorder="1"/>
    <xf numFmtId="0" fontId="5" fillId="0" borderId="16" xfId="0" applyFont="1" applyBorder="1" applyProtection="1">
      <protection locked="0"/>
    </xf>
    <xf numFmtId="0" fontId="5" fillId="0" borderId="16" xfId="0" applyFont="1" applyBorder="1"/>
    <xf numFmtId="0" fontId="7" fillId="0" borderId="16" xfId="0" applyFont="1" applyBorder="1" applyAlignment="1">
      <alignment horizontal="center"/>
    </xf>
    <xf numFmtId="2" fontId="5" fillId="0" borderId="16" xfId="0" applyNumberFormat="1" applyFont="1" applyBorder="1"/>
    <xf numFmtId="2" fontId="5" fillId="0" borderId="17" xfId="0" applyNumberFormat="1" applyFont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2" fontId="0" fillId="0" borderId="17" xfId="0" applyNumberFormat="1" applyBorder="1"/>
    <xf numFmtId="0" fontId="8" fillId="0" borderId="10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/>
      <protection locked="0"/>
    </xf>
    <xf numFmtId="2" fontId="8" fillId="0" borderId="5" xfId="0" applyNumberFormat="1" applyFont="1" applyBorder="1" applyProtection="1"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2" fontId="8" fillId="0" borderId="1" xfId="0" applyNumberFormat="1" applyFont="1" applyBorder="1" applyProtection="1">
      <protection locked="0"/>
    </xf>
    <xf numFmtId="1" fontId="8" fillId="0" borderId="5" xfId="0" applyNumberFormat="1" applyFont="1" applyBorder="1" applyAlignment="1" applyProtection="1">
      <alignment horizontal="center"/>
      <protection locked="0"/>
    </xf>
    <xf numFmtId="1" fontId="8" fillId="0" borderId="13" xfId="0" applyNumberFormat="1" applyFont="1" applyBorder="1" applyAlignment="1" applyProtection="1">
      <alignment horizontal="center"/>
      <protection locked="0"/>
    </xf>
    <xf numFmtId="2" fontId="8" fillId="0" borderId="13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13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2" fontId="8" fillId="0" borderId="16" xfId="0" applyNumberFormat="1" applyFont="1" applyBorder="1"/>
    <xf numFmtId="0" fontId="0" fillId="0" borderId="18" xfId="0" applyBorder="1"/>
    <xf numFmtId="1" fontId="8" fillId="0" borderId="16" xfId="0" applyNumberFormat="1" applyFont="1" applyBorder="1" applyAlignment="1" applyProtection="1">
      <alignment horizontal="center"/>
      <protection locked="0"/>
    </xf>
    <xf numFmtId="2" fontId="8" fillId="0" borderId="16" xfId="0" applyNumberFormat="1" applyFont="1" applyBorder="1" applyProtection="1">
      <protection locked="0"/>
    </xf>
    <xf numFmtId="0" fontId="0" fillId="0" borderId="19" xfId="0" applyBorder="1"/>
    <xf numFmtId="0" fontId="0" fillId="0" borderId="20" xfId="0" applyBorder="1" applyProtection="1">
      <protection locked="0"/>
    </xf>
    <xf numFmtId="1" fontId="8" fillId="0" borderId="20" xfId="0" applyNumberFormat="1" applyFont="1" applyBorder="1" applyAlignment="1" applyProtection="1">
      <alignment horizontal="center"/>
      <protection locked="0"/>
    </xf>
    <xf numFmtId="2" fontId="8" fillId="0" borderId="20" xfId="0" applyNumberFormat="1" applyFont="1" applyBorder="1" applyProtection="1">
      <protection locked="0"/>
    </xf>
    <xf numFmtId="2" fontId="0" fillId="0" borderId="20" xfId="0" applyNumberFormat="1" applyBorder="1" applyProtection="1">
      <protection locked="0"/>
    </xf>
    <xf numFmtId="0" fontId="9" fillId="0" borderId="16" xfId="0" applyFont="1" applyBorder="1" applyAlignment="1">
      <alignment horizontal="center"/>
    </xf>
    <xf numFmtId="2" fontId="9" fillId="0" borderId="16" xfId="0" applyNumberFormat="1" applyFont="1" applyBorder="1"/>
    <xf numFmtId="2" fontId="10" fillId="0" borderId="16" xfId="0" applyNumberFormat="1" applyFont="1" applyBorder="1"/>
    <xf numFmtId="2" fontId="0" fillId="0" borderId="21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0" fontId="0" fillId="0" borderId="10" xfId="0" applyBorder="1"/>
    <xf numFmtId="49" fontId="8" fillId="0" borderId="10" xfId="0" applyNumberFormat="1" applyFont="1" applyBorder="1" applyAlignment="1" applyProtection="1">
      <alignment horizontal="center"/>
      <protection locked="0"/>
    </xf>
    <xf numFmtId="2" fontId="8" fillId="0" borderId="10" xfId="0" applyNumberFormat="1" applyFont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11" fillId="0" borderId="16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4" fontId="5" fillId="0" borderId="0" xfId="0" applyNumberFormat="1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5"/>
  <sheetViews>
    <sheetView tabSelected="1" topLeftCell="A25" zoomScale="115" zoomScaleNormal="115" workbookViewId="0">
      <selection activeCell="F37" sqref="F37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9.77734375" style="17" customWidth="1"/>
    <col min="6" max="6" width="9.33203125" bestFit="1" customWidth="1"/>
    <col min="7" max="7" width="7.6640625" customWidth="1"/>
    <col min="8" max="8" width="7.21875" bestFit="1" customWidth="1"/>
    <col min="9" max="9" width="6.5546875" customWidth="1"/>
    <col min="10" max="10" width="8.5546875" customWidth="1"/>
  </cols>
  <sheetData>
    <row r="1" spans="1:10" ht="28.8" customHeight="1" x14ac:dyDescent="0.3">
      <c r="A1" t="s">
        <v>0</v>
      </c>
      <c r="B1" s="103" t="s">
        <v>58</v>
      </c>
      <c r="C1" s="104"/>
      <c r="D1" s="105"/>
      <c r="E1" s="17" t="s">
        <v>27</v>
      </c>
      <c r="F1" s="16"/>
      <c r="H1" t="s">
        <v>36</v>
      </c>
      <c r="I1" s="106">
        <v>45205</v>
      </c>
      <c r="J1" s="106"/>
    </row>
    <row r="2" spans="1:10" ht="15" thickBot="1" x14ac:dyDescent="0.35">
      <c r="B2" s="1" t="s">
        <v>26</v>
      </c>
    </row>
    <row r="3" spans="1:10" s="23" customFormat="1" ht="29.4" thickBot="1" x14ac:dyDescent="0.35">
      <c r="A3" s="19" t="s">
        <v>1</v>
      </c>
      <c r="B3" s="20" t="s">
        <v>2</v>
      </c>
      <c r="C3" s="20" t="s">
        <v>18</v>
      </c>
      <c r="D3" s="20" t="s">
        <v>3</v>
      </c>
      <c r="E3" s="51" t="s">
        <v>19</v>
      </c>
      <c r="F3" s="51" t="s">
        <v>4</v>
      </c>
      <c r="G3" s="21" t="s">
        <v>5</v>
      </c>
      <c r="H3" s="20" t="s">
        <v>6</v>
      </c>
      <c r="I3" s="20" t="s">
        <v>7</v>
      </c>
      <c r="J3" s="22" t="s">
        <v>8</v>
      </c>
    </row>
    <row r="4" spans="1:10" ht="28.8" x14ac:dyDescent="0.3">
      <c r="A4" s="5" t="s">
        <v>9</v>
      </c>
      <c r="B4" s="36" t="s">
        <v>10</v>
      </c>
      <c r="C4" s="85">
        <v>43</v>
      </c>
      <c r="D4" s="86" t="s">
        <v>39</v>
      </c>
      <c r="E4" s="52" t="s">
        <v>47</v>
      </c>
      <c r="F4" s="53">
        <f>18.38*250/200</f>
        <v>22.975000000000001</v>
      </c>
      <c r="G4" s="7">
        <f>260*250/200</f>
        <v>325</v>
      </c>
      <c r="H4" s="7">
        <f>8.01*250/200</f>
        <v>10.012499999999999</v>
      </c>
      <c r="I4" s="7">
        <f>8.64*250/200</f>
        <v>10.8</v>
      </c>
      <c r="J4" s="8">
        <f>38*250/200</f>
        <v>47.5</v>
      </c>
    </row>
    <row r="5" spans="1:10" ht="15.6" x14ac:dyDescent="0.3">
      <c r="A5" s="9"/>
      <c r="B5" s="38" t="s">
        <v>11</v>
      </c>
      <c r="C5" s="87">
        <v>30</v>
      </c>
      <c r="D5" s="88" t="s">
        <v>40</v>
      </c>
      <c r="E5" s="54">
        <v>200</v>
      </c>
      <c r="F5" s="55">
        <v>3.58</v>
      </c>
      <c r="G5" s="11">
        <v>43</v>
      </c>
      <c r="H5" s="11">
        <v>0.06</v>
      </c>
      <c r="I5" s="11">
        <v>0.01</v>
      </c>
      <c r="J5" s="12">
        <v>10.220000000000001</v>
      </c>
    </row>
    <row r="6" spans="1:10" ht="15.6" x14ac:dyDescent="0.3">
      <c r="A6" s="9"/>
      <c r="B6" s="39" t="s">
        <v>22</v>
      </c>
      <c r="C6" s="87">
        <v>3</v>
      </c>
      <c r="D6" s="88" t="s">
        <v>41</v>
      </c>
      <c r="E6" s="54">
        <v>10</v>
      </c>
      <c r="F6" s="55">
        <f>10.8*10/10</f>
        <v>10.8</v>
      </c>
      <c r="G6" s="11">
        <f>65*10/10</f>
        <v>65</v>
      </c>
      <c r="H6" s="11">
        <f>0.08*10/10</f>
        <v>0.08</v>
      </c>
      <c r="I6" s="11">
        <f>7.15*10/10</f>
        <v>7.15</v>
      </c>
      <c r="J6" s="12">
        <f>0.13*10/10</f>
        <v>0.13</v>
      </c>
    </row>
    <row r="7" spans="1:10" ht="15.6" x14ac:dyDescent="0.3">
      <c r="A7" s="9"/>
      <c r="B7" s="39" t="s">
        <v>22</v>
      </c>
      <c r="C7" s="87">
        <v>6</v>
      </c>
      <c r="D7" s="88" t="s">
        <v>42</v>
      </c>
      <c r="E7" s="54">
        <v>16</v>
      </c>
      <c r="F7" s="55">
        <f>10.02*16/12</f>
        <v>13.36</v>
      </c>
      <c r="G7" s="11">
        <f>42*16/12</f>
        <v>56</v>
      </c>
      <c r="H7" s="11">
        <f>3.16*16/12</f>
        <v>4.2133333333333338</v>
      </c>
      <c r="I7" s="11">
        <f>3.19*16/12</f>
        <v>4.253333333333333</v>
      </c>
      <c r="J7" s="12">
        <f>0*17/12</f>
        <v>0</v>
      </c>
    </row>
    <row r="8" spans="1:10" ht="15.6" x14ac:dyDescent="0.3">
      <c r="A8" s="9"/>
      <c r="B8" s="39" t="s">
        <v>22</v>
      </c>
      <c r="C8" s="87" t="s">
        <v>20</v>
      </c>
      <c r="D8" s="88" t="s">
        <v>43</v>
      </c>
      <c r="E8" s="54">
        <v>38</v>
      </c>
      <c r="F8" s="55">
        <f>152.4*0.038</f>
        <v>5.7911999999999999</v>
      </c>
      <c r="G8" s="11">
        <v>83.79</v>
      </c>
      <c r="H8" s="11">
        <v>4.67</v>
      </c>
      <c r="I8" s="11">
        <v>1.79</v>
      </c>
      <c r="J8" s="12">
        <v>12.12</v>
      </c>
    </row>
    <row r="9" spans="1:10" ht="15.6" x14ac:dyDescent="0.3">
      <c r="A9" s="9"/>
      <c r="B9" s="38" t="s">
        <v>16</v>
      </c>
      <c r="C9" s="87" t="s">
        <v>20</v>
      </c>
      <c r="D9" s="88" t="s">
        <v>21</v>
      </c>
      <c r="E9" s="54">
        <v>25</v>
      </c>
      <c r="F9" s="55">
        <v>1.07</v>
      </c>
      <c r="G9" s="11">
        <f>42*25/20</f>
        <v>52.5</v>
      </c>
      <c r="H9" s="11">
        <f>0.98*25/20</f>
        <v>1.2250000000000001</v>
      </c>
      <c r="I9" s="11">
        <f>0.2*25/20</f>
        <v>0.25</v>
      </c>
      <c r="J9" s="12">
        <f>8.96*25/20</f>
        <v>11.200000000000001</v>
      </c>
    </row>
    <row r="10" spans="1:10" ht="15.6" x14ac:dyDescent="0.3">
      <c r="A10" s="9"/>
      <c r="B10" s="39" t="s">
        <v>17</v>
      </c>
      <c r="C10" s="87" t="s">
        <v>20</v>
      </c>
      <c r="D10" s="88" t="s">
        <v>25</v>
      </c>
      <c r="E10" s="54">
        <v>26</v>
      </c>
      <c r="F10" s="55">
        <f>36.36*0.026</f>
        <v>0.94535999999999998</v>
      </c>
      <c r="G10" s="11">
        <f>47*26/20</f>
        <v>61.1</v>
      </c>
      <c r="H10" s="11">
        <f>1.52*26/20</f>
        <v>1.9760000000000002</v>
      </c>
      <c r="I10" s="11">
        <f>0.16*26/20</f>
        <v>0.20800000000000002</v>
      </c>
      <c r="J10" s="12">
        <f>9.84*26/20</f>
        <v>12.792</v>
      </c>
    </row>
    <row r="11" spans="1:10" ht="16.2" thickBot="1" x14ac:dyDescent="0.35">
      <c r="A11" s="69"/>
      <c r="B11" s="70"/>
      <c r="C11" s="89"/>
      <c r="D11" s="90"/>
      <c r="E11" s="71"/>
      <c r="F11" s="72">
        <f>SUM(F4:F10)</f>
        <v>58.521560000000008</v>
      </c>
      <c r="G11" s="73">
        <f>SUM(G4:G10)</f>
        <v>686.39</v>
      </c>
      <c r="H11" s="73">
        <f>SUM(H4:H10)</f>
        <v>22.236833333333337</v>
      </c>
      <c r="I11" s="73">
        <f>SUM(I4:I10)</f>
        <v>24.461333333333332</v>
      </c>
      <c r="J11" s="77">
        <f>SUM(J4:J10)</f>
        <v>93.962000000000003</v>
      </c>
    </row>
    <row r="12" spans="1:10" ht="28.8" x14ac:dyDescent="0.3">
      <c r="A12" s="5" t="s">
        <v>23</v>
      </c>
      <c r="B12" s="6" t="s">
        <v>24</v>
      </c>
      <c r="C12" s="91">
        <v>29</v>
      </c>
      <c r="D12" s="92" t="s">
        <v>44</v>
      </c>
      <c r="E12" s="56">
        <v>200</v>
      </c>
      <c r="F12" s="53">
        <v>10.8</v>
      </c>
      <c r="G12" s="7">
        <v>78</v>
      </c>
      <c r="H12" s="7">
        <v>0</v>
      </c>
      <c r="I12" s="7">
        <v>0</v>
      </c>
      <c r="J12" s="8">
        <v>19.399999999999999</v>
      </c>
    </row>
    <row r="13" spans="1:10" ht="15.6" x14ac:dyDescent="0.3">
      <c r="A13" s="9"/>
      <c r="B13" s="39" t="s">
        <v>22</v>
      </c>
      <c r="C13" s="93" t="s">
        <v>20</v>
      </c>
      <c r="D13" s="102" t="s">
        <v>57</v>
      </c>
      <c r="E13" s="54">
        <v>150</v>
      </c>
      <c r="F13" s="55">
        <f>0.15*165</f>
        <v>24.75</v>
      </c>
      <c r="G13" s="11">
        <v>96</v>
      </c>
      <c r="H13" s="11">
        <v>1.5</v>
      </c>
      <c r="I13" s="11">
        <v>0.5</v>
      </c>
      <c r="J13" s="12">
        <v>21</v>
      </c>
    </row>
    <row r="14" spans="1:10" ht="15.6" x14ac:dyDescent="0.3">
      <c r="A14" s="9"/>
      <c r="B14" s="39" t="s">
        <v>22</v>
      </c>
      <c r="C14" s="95">
        <v>62</v>
      </c>
      <c r="D14" s="96" t="s">
        <v>33</v>
      </c>
      <c r="E14" s="57">
        <v>50</v>
      </c>
      <c r="F14" s="58">
        <v>11.8</v>
      </c>
      <c r="G14" s="13">
        <v>171</v>
      </c>
      <c r="H14" s="13">
        <v>5.0199999999999996</v>
      </c>
      <c r="I14" s="13">
        <v>5.41</v>
      </c>
      <c r="J14" s="14">
        <v>23</v>
      </c>
    </row>
    <row r="15" spans="1:10" ht="16.2" thickBot="1" x14ac:dyDescent="0.35">
      <c r="A15" s="66"/>
      <c r="B15" s="47"/>
      <c r="C15" s="97"/>
      <c r="D15" s="98"/>
      <c r="E15" s="67"/>
      <c r="F15" s="68">
        <v>43.9</v>
      </c>
      <c r="G15" s="78">
        <f>SUM(G12:G14)</f>
        <v>345</v>
      </c>
      <c r="H15" s="78">
        <f>SUM(H12:H14)</f>
        <v>6.52</v>
      </c>
      <c r="I15" s="78">
        <f>SUM(I12:I14)</f>
        <v>5.91</v>
      </c>
      <c r="J15" s="79">
        <f>SUM(J12:J14)</f>
        <v>63.4</v>
      </c>
    </row>
    <row r="16" spans="1:10" ht="15.6" x14ac:dyDescent="0.3">
      <c r="A16" s="5" t="s">
        <v>12</v>
      </c>
      <c r="B16" s="6" t="s">
        <v>13</v>
      </c>
      <c r="C16" s="91">
        <v>4</v>
      </c>
      <c r="D16" s="92" t="s">
        <v>32</v>
      </c>
      <c r="E16" s="52" t="s">
        <v>38</v>
      </c>
      <c r="F16" s="53">
        <f>28.02</f>
        <v>28.02</v>
      </c>
      <c r="G16" s="7">
        <v>8</v>
      </c>
      <c r="H16" s="7">
        <v>0.48</v>
      </c>
      <c r="I16" s="7">
        <v>0.06</v>
      </c>
      <c r="J16" s="8">
        <v>1.02</v>
      </c>
    </row>
    <row r="17" spans="1:10" ht="42" customHeight="1" x14ac:dyDescent="0.3">
      <c r="A17" s="9"/>
      <c r="B17" s="10" t="s">
        <v>14</v>
      </c>
      <c r="C17" s="93">
        <v>49</v>
      </c>
      <c r="D17" s="94" t="s">
        <v>46</v>
      </c>
      <c r="E17" s="59" t="s">
        <v>52</v>
      </c>
      <c r="F17" s="55">
        <f>8.47*240/220+14.93*10/30</f>
        <v>14.216666666666669</v>
      </c>
      <c r="G17" s="11">
        <v>170</v>
      </c>
      <c r="H17" s="11">
        <v>8.15</v>
      </c>
      <c r="I17" s="11">
        <v>7.7</v>
      </c>
      <c r="J17" s="12">
        <v>13.12</v>
      </c>
    </row>
    <row r="18" spans="1:10" ht="28.8" x14ac:dyDescent="0.3">
      <c r="A18" s="9"/>
      <c r="B18" s="10" t="s">
        <v>15</v>
      </c>
      <c r="C18" s="93">
        <v>48</v>
      </c>
      <c r="D18" s="94" t="s">
        <v>48</v>
      </c>
      <c r="E18" s="59" t="s">
        <v>55</v>
      </c>
      <c r="F18" s="55">
        <f>51.92*30/60+21.12*210/180</f>
        <v>50.6</v>
      </c>
      <c r="G18" s="11">
        <v>271</v>
      </c>
      <c r="H18" s="11">
        <v>14.31</v>
      </c>
      <c r="I18" s="11">
        <v>14.62</v>
      </c>
      <c r="J18" s="12">
        <v>16.600000000000001</v>
      </c>
    </row>
    <row r="19" spans="1:10" ht="15.6" x14ac:dyDescent="0.3">
      <c r="A19" s="9"/>
      <c r="B19" s="10" t="s">
        <v>24</v>
      </c>
      <c r="C19" s="93">
        <v>25</v>
      </c>
      <c r="D19" s="94" t="s">
        <v>35</v>
      </c>
      <c r="E19" s="59" t="s">
        <v>34</v>
      </c>
      <c r="F19" s="55">
        <v>13.4</v>
      </c>
      <c r="G19" s="11">
        <v>136</v>
      </c>
      <c r="H19" s="11">
        <v>0.6</v>
      </c>
      <c r="I19" s="11">
        <v>0</v>
      </c>
      <c r="J19" s="12">
        <v>33</v>
      </c>
    </row>
    <row r="20" spans="1:10" ht="15.6" x14ac:dyDescent="0.3">
      <c r="A20" s="9"/>
      <c r="B20" s="10" t="s">
        <v>17</v>
      </c>
      <c r="C20" s="93" t="s">
        <v>20</v>
      </c>
      <c r="D20" s="94" t="s">
        <v>25</v>
      </c>
      <c r="E20" s="59" t="s">
        <v>49</v>
      </c>
      <c r="F20" s="55">
        <f>36.36*0.05</f>
        <v>1.8180000000000001</v>
      </c>
      <c r="G20" s="11">
        <v>117.5</v>
      </c>
      <c r="H20" s="11">
        <v>3.8</v>
      </c>
      <c r="I20" s="11">
        <v>0.4</v>
      </c>
      <c r="J20" s="12">
        <v>24.6</v>
      </c>
    </row>
    <row r="21" spans="1:10" ht="15.6" x14ac:dyDescent="0.3">
      <c r="A21" s="9"/>
      <c r="B21" s="15" t="s">
        <v>16</v>
      </c>
      <c r="C21" s="95" t="s">
        <v>20</v>
      </c>
      <c r="D21" s="96" t="s">
        <v>21</v>
      </c>
      <c r="E21" s="60" t="s">
        <v>49</v>
      </c>
      <c r="F21" s="58">
        <f>43.64*0.05</f>
        <v>2.1819999999999999</v>
      </c>
      <c r="G21" s="13">
        <v>105</v>
      </c>
      <c r="H21" s="13">
        <v>2.4500000000000002</v>
      </c>
      <c r="I21" s="13">
        <v>0.5</v>
      </c>
      <c r="J21" s="14">
        <v>22.4</v>
      </c>
    </row>
    <row r="22" spans="1:10" ht="16.2" thickBot="1" x14ac:dyDescent="0.35">
      <c r="A22" s="46"/>
      <c r="B22" s="47"/>
      <c r="C22" s="48"/>
      <c r="D22" s="48"/>
      <c r="E22" s="64"/>
      <c r="F22" s="65">
        <v>87.79</v>
      </c>
      <c r="G22" s="49">
        <f>SUM(G16:G21)</f>
        <v>807.5</v>
      </c>
      <c r="H22" s="49">
        <f>SUM(H16:H21)</f>
        <v>29.790000000000003</v>
      </c>
      <c r="I22" s="49">
        <f>SUM(I16:I21)</f>
        <v>23.279999999999998</v>
      </c>
      <c r="J22" s="50">
        <f>SUM(J16:J21)</f>
        <v>110.74000000000001</v>
      </c>
    </row>
    <row r="23" spans="1:10" ht="16.2" thickBot="1" x14ac:dyDescent="0.35">
      <c r="B23" s="1" t="s">
        <v>28</v>
      </c>
      <c r="E23" s="61"/>
      <c r="F23" s="62"/>
    </row>
    <row r="24" spans="1:10" ht="29.4" thickBot="1" x14ac:dyDescent="0.35">
      <c r="A24" s="2" t="s">
        <v>1</v>
      </c>
      <c r="B24" s="3" t="s">
        <v>2</v>
      </c>
      <c r="C24" s="3" t="s">
        <v>18</v>
      </c>
      <c r="D24" s="3" t="s">
        <v>3</v>
      </c>
      <c r="E24" s="63" t="s">
        <v>19</v>
      </c>
      <c r="F24" s="63" t="s">
        <v>4</v>
      </c>
      <c r="G24" s="18" t="s">
        <v>5</v>
      </c>
      <c r="H24" s="3" t="s">
        <v>6</v>
      </c>
      <c r="I24" s="3" t="s">
        <v>7</v>
      </c>
      <c r="J24" s="4" t="s">
        <v>8</v>
      </c>
    </row>
    <row r="25" spans="1:10" ht="28.8" x14ac:dyDescent="0.3">
      <c r="A25" s="5" t="s">
        <v>9</v>
      </c>
      <c r="B25" s="36" t="s">
        <v>10</v>
      </c>
      <c r="C25" s="85">
        <v>43</v>
      </c>
      <c r="D25" s="86" t="s">
        <v>39</v>
      </c>
      <c r="E25" s="52" t="s">
        <v>47</v>
      </c>
      <c r="F25" s="53">
        <f>18.38*250/200</f>
        <v>22.975000000000001</v>
      </c>
      <c r="G25" s="7">
        <f>260*250/200</f>
        <v>325</v>
      </c>
      <c r="H25" s="7">
        <f>8.01*250/200</f>
        <v>10.012499999999999</v>
      </c>
      <c r="I25" s="7">
        <f>8.64*250/200</f>
        <v>10.8</v>
      </c>
      <c r="J25" s="8">
        <f>38*250/200</f>
        <v>47.5</v>
      </c>
    </row>
    <row r="26" spans="1:10" ht="15.6" x14ac:dyDescent="0.3">
      <c r="A26" s="9"/>
      <c r="B26" s="38" t="s">
        <v>11</v>
      </c>
      <c r="C26" s="87">
        <v>30</v>
      </c>
      <c r="D26" s="88" t="s">
        <v>40</v>
      </c>
      <c r="E26" s="54">
        <v>200</v>
      </c>
      <c r="F26" s="55">
        <v>3.58</v>
      </c>
      <c r="G26" s="11">
        <v>43</v>
      </c>
      <c r="H26" s="11">
        <v>0.06</v>
      </c>
      <c r="I26" s="11">
        <v>0.01</v>
      </c>
      <c r="J26" s="12">
        <v>10.220000000000001</v>
      </c>
    </row>
    <row r="27" spans="1:10" ht="15.6" x14ac:dyDescent="0.3">
      <c r="A27" s="9"/>
      <c r="B27" s="39" t="s">
        <v>22</v>
      </c>
      <c r="C27" s="87">
        <v>3</v>
      </c>
      <c r="D27" s="88" t="s">
        <v>41</v>
      </c>
      <c r="E27" s="54">
        <v>10</v>
      </c>
      <c r="F27" s="55">
        <f>10.8*10/10</f>
        <v>10.8</v>
      </c>
      <c r="G27" s="11">
        <f>65*12/10</f>
        <v>78</v>
      </c>
      <c r="H27" s="11">
        <f>0.08*12/10</f>
        <v>9.6000000000000002E-2</v>
      </c>
      <c r="I27" s="11">
        <f>7.15*12/10</f>
        <v>8.5800000000000018</v>
      </c>
      <c r="J27" s="12">
        <f>0.13*12/10</f>
        <v>0.156</v>
      </c>
    </row>
    <row r="28" spans="1:10" ht="15.6" x14ac:dyDescent="0.3">
      <c r="A28" s="9"/>
      <c r="B28" s="39" t="s">
        <v>22</v>
      </c>
      <c r="C28" s="87">
        <v>6</v>
      </c>
      <c r="D28" s="88" t="s">
        <v>42</v>
      </c>
      <c r="E28" s="54">
        <v>21</v>
      </c>
      <c r="F28" s="55">
        <f>12.33*21/15</f>
        <v>17.262</v>
      </c>
      <c r="G28" s="11">
        <f>52.5*20/15</f>
        <v>70</v>
      </c>
      <c r="H28" s="11">
        <f>3.95*20/15</f>
        <v>5.2666666666666666</v>
      </c>
      <c r="I28" s="11">
        <f>3.99*20/15</f>
        <v>5.3200000000000012</v>
      </c>
      <c r="J28" s="12">
        <v>0</v>
      </c>
    </row>
    <row r="29" spans="1:10" ht="15.6" x14ac:dyDescent="0.3">
      <c r="A29" s="9"/>
      <c r="B29" s="39" t="s">
        <v>22</v>
      </c>
      <c r="C29" s="87" t="s">
        <v>20</v>
      </c>
      <c r="D29" s="88" t="s">
        <v>43</v>
      </c>
      <c r="E29" s="54">
        <v>76</v>
      </c>
      <c r="F29" s="55">
        <f>152.4*0.076</f>
        <v>11.5824</v>
      </c>
      <c r="G29" s="11">
        <f>83.79*76/38</f>
        <v>167.58</v>
      </c>
      <c r="H29" s="11">
        <f>4.67*76/38</f>
        <v>9.34</v>
      </c>
      <c r="I29" s="11">
        <f>1.79*76/38</f>
        <v>3.5799999999999996</v>
      </c>
      <c r="J29" s="12">
        <f>12.12*76/38</f>
        <v>24.24</v>
      </c>
    </row>
    <row r="30" spans="1:10" ht="15.6" x14ac:dyDescent="0.3">
      <c r="A30" s="9"/>
      <c r="B30" s="38" t="s">
        <v>16</v>
      </c>
      <c r="C30" s="87" t="s">
        <v>20</v>
      </c>
      <c r="D30" s="88" t="s">
        <v>21</v>
      </c>
      <c r="E30" s="54">
        <v>23</v>
      </c>
      <c r="F30" s="55">
        <f>43.64*0.023</f>
        <v>1.0037199999999999</v>
      </c>
      <c r="G30" s="11">
        <f>42*23/20</f>
        <v>48.3</v>
      </c>
      <c r="H30" s="11">
        <f>0.98*23/20</f>
        <v>1.127</v>
      </c>
      <c r="I30" s="11">
        <f>0.2*23/20</f>
        <v>0.23000000000000004</v>
      </c>
      <c r="J30" s="12">
        <f>8.96*23/20</f>
        <v>10.304</v>
      </c>
    </row>
    <row r="31" spans="1:10" ht="15.6" x14ac:dyDescent="0.3">
      <c r="A31" s="9"/>
      <c r="B31" s="39" t="s">
        <v>17</v>
      </c>
      <c r="C31" s="87" t="s">
        <v>20</v>
      </c>
      <c r="D31" s="88" t="s">
        <v>25</v>
      </c>
      <c r="E31" s="54">
        <v>24</v>
      </c>
      <c r="F31" s="55">
        <v>0.85</v>
      </c>
      <c r="G31" s="11">
        <f>47*24/20</f>
        <v>56.4</v>
      </c>
      <c r="H31" s="11">
        <f>1.52*24/20</f>
        <v>1.8240000000000003</v>
      </c>
      <c r="I31" s="11">
        <f>0.16*24/20</f>
        <v>0.192</v>
      </c>
      <c r="J31" s="12">
        <f>9.84*24/20</f>
        <v>11.808</v>
      </c>
    </row>
    <row r="32" spans="1:10" ht="16.2" thickBot="1" x14ac:dyDescent="0.35">
      <c r="A32" s="69"/>
      <c r="B32" s="70"/>
      <c r="C32" s="89"/>
      <c r="D32" s="90"/>
      <c r="E32" s="71"/>
      <c r="F32" s="72">
        <f>SUM(F25:F31)</f>
        <v>68.053119999999993</v>
      </c>
      <c r="G32" s="73">
        <f>SUM(G25:G31)</f>
        <v>788.28</v>
      </c>
      <c r="H32" s="73">
        <f>SUM(H25:H31)</f>
        <v>27.726166666666668</v>
      </c>
      <c r="I32" s="73">
        <f>SUM(I25:I31)</f>
        <v>28.712</v>
      </c>
      <c r="J32" s="77">
        <f>SUM(J25:J31)</f>
        <v>104.22800000000001</v>
      </c>
    </row>
    <row r="33" spans="1:10" ht="28.8" x14ac:dyDescent="0.3">
      <c r="A33" s="5" t="s">
        <v>23</v>
      </c>
      <c r="B33" s="6" t="s">
        <v>24</v>
      </c>
      <c r="C33" s="91">
        <v>29</v>
      </c>
      <c r="D33" s="92" t="s">
        <v>44</v>
      </c>
      <c r="E33" s="56">
        <v>200</v>
      </c>
      <c r="F33" s="53">
        <v>10.8</v>
      </c>
      <c r="G33" s="7">
        <v>78</v>
      </c>
      <c r="H33" s="7">
        <v>0</v>
      </c>
      <c r="I33" s="7">
        <v>0</v>
      </c>
      <c r="J33" s="8">
        <v>19.399999999999999</v>
      </c>
    </row>
    <row r="34" spans="1:10" ht="15.6" x14ac:dyDescent="0.3">
      <c r="A34" s="9"/>
      <c r="B34" s="39" t="s">
        <v>22</v>
      </c>
      <c r="C34" s="93" t="s">
        <v>20</v>
      </c>
      <c r="D34" s="94" t="s">
        <v>45</v>
      </c>
      <c r="E34" s="54">
        <v>150</v>
      </c>
      <c r="F34" s="55">
        <f>0.15*165</f>
        <v>24.75</v>
      </c>
      <c r="G34" s="11">
        <v>96</v>
      </c>
      <c r="H34" s="11">
        <v>1.5</v>
      </c>
      <c r="I34" s="11">
        <v>0.5</v>
      </c>
      <c r="J34" s="12">
        <v>21</v>
      </c>
    </row>
    <row r="35" spans="1:10" ht="15.6" x14ac:dyDescent="0.3">
      <c r="A35" s="9"/>
      <c r="B35" s="39" t="s">
        <v>22</v>
      </c>
      <c r="C35" s="95">
        <v>62</v>
      </c>
      <c r="D35" s="96" t="s">
        <v>33</v>
      </c>
      <c r="E35" s="57">
        <v>70</v>
      </c>
      <c r="F35" s="58">
        <f>11.8*70/50</f>
        <v>16.52</v>
      </c>
      <c r="G35" s="13">
        <f>171*70/60</f>
        <v>199.5</v>
      </c>
      <c r="H35" s="13">
        <f>5.02*70/50</f>
        <v>7.0279999999999996</v>
      </c>
      <c r="I35" s="13">
        <f>5.41*70/50</f>
        <v>7.5739999999999998</v>
      </c>
      <c r="J35" s="14">
        <f>23*70/50</f>
        <v>32.200000000000003</v>
      </c>
    </row>
    <row r="36" spans="1:10" ht="16.2" thickBot="1" x14ac:dyDescent="0.35">
      <c r="A36" s="66"/>
      <c r="B36" s="47"/>
      <c r="C36" s="97"/>
      <c r="D36" s="98"/>
      <c r="E36" s="67"/>
      <c r="F36" s="68">
        <v>51.02</v>
      </c>
      <c r="G36" s="78">
        <f>SUM(G33:G35)</f>
        <v>373.5</v>
      </c>
      <c r="H36" s="78">
        <f>SUM(H33:H35)</f>
        <v>8.5279999999999987</v>
      </c>
      <c r="I36" s="78">
        <f>SUM(I33:I35)</f>
        <v>8.0739999999999998</v>
      </c>
      <c r="J36" s="79">
        <f>SUM(J33:J35)</f>
        <v>72.599999999999994</v>
      </c>
    </row>
    <row r="37" spans="1:10" ht="15.6" x14ac:dyDescent="0.3">
      <c r="A37" s="5" t="s">
        <v>12</v>
      </c>
      <c r="B37" s="6" t="s">
        <v>13</v>
      </c>
      <c r="C37" s="91">
        <v>4</v>
      </c>
      <c r="D37" s="92" t="s">
        <v>32</v>
      </c>
      <c r="E37" s="52" t="s">
        <v>38</v>
      </c>
      <c r="F37" s="53">
        <v>28.02</v>
      </c>
      <c r="G37" s="7">
        <v>8</v>
      </c>
      <c r="H37" s="7">
        <v>0.48</v>
      </c>
      <c r="I37" s="7">
        <v>0.06</v>
      </c>
      <c r="J37" s="8">
        <v>1.02</v>
      </c>
    </row>
    <row r="38" spans="1:10" ht="43.2" x14ac:dyDescent="0.3">
      <c r="A38" s="9"/>
      <c r="B38" s="10" t="s">
        <v>14</v>
      </c>
      <c r="C38" s="93">
        <v>49</v>
      </c>
      <c r="D38" s="94" t="s">
        <v>46</v>
      </c>
      <c r="E38" s="59" t="s">
        <v>52</v>
      </c>
      <c r="F38" s="55">
        <f>8.47*240/220+14.93*10/30</f>
        <v>14.216666666666669</v>
      </c>
      <c r="G38" s="11">
        <v>170</v>
      </c>
      <c r="H38" s="11">
        <v>8.15</v>
      </c>
      <c r="I38" s="11">
        <v>7.7</v>
      </c>
      <c r="J38" s="12">
        <v>13.12</v>
      </c>
    </row>
    <row r="39" spans="1:10" ht="28.8" x14ac:dyDescent="0.3">
      <c r="A39" s="9"/>
      <c r="B39" s="10" t="s">
        <v>15</v>
      </c>
      <c r="C39" s="93">
        <v>48</v>
      </c>
      <c r="D39" s="94" t="s">
        <v>48</v>
      </c>
      <c r="E39" s="59" t="s">
        <v>56</v>
      </c>
      <c r="F39" s="55">
        <f>60.47*40/70+24.23*240/210</f>
        <v>62.245714285714286</v>
      </c>
      <c r="G39" s="11">
        <v>316.17</v>
      </c>
      <c r="H39" s="11">
        <v>16.7</v>
      </c>
      <c r="I39" s="11">
        <v>17.059999999999999</v>
      </c>
      <c r="J39" s="12">
        <v>19.37</v>
      </c>
    </row>
    <row r="40" spans="1:10" ht="15.6" x14ac:dyDescent="0.3">
      <c r="A40" s="9"/>
      <c r="B40" s="10" t="s">
        <v>24</v>
      </c>
      <c r="C40" s="93">
        <v>25</v>
      </c>
      <c r="D40" s="94" t="s">
        <v>35</v>
      </c>
      <c r="E40" s="59" t="s">
        <v>34</v>
      </c>
      <c r="F40" s="55">
        <v>13.4</v>
      </c>
      <c r="G40" s="11">
        <v>136</v>
      </c>
      <c r="H40" s="11">
        <v>0.6</v>
      </c>
      <c r="I40" s="11">
        <v>0</v>
      </c>
      <c r="J40" s="12">
        <v>33</v>
      </c>
    </row>
    <row r="41" spans="1:10" ht="15.6" x14ac:dyDescent="0.3">
      <c r="A41" s="9"/>
      <c r="B41" s="10" t="s">
        <v>17</v>
      </c>
      <c r="C41" s="93" t="s">
        <v>20</v>
      </c>
      <c r="D41" s="94" t="s">
        <v>25</v>
      </c>
      <c r="E41" s="59" t="s">
        <v>38</v>
      </c>
      <c r="F41" s="55">
        <f>36.36*0.06</f>
        <v>2.1816</v>
      </c>
      <c r="G41" s="11">
        <v>141</v>
      </c>
      <c r="H41" s="11">
        <v>4.5599999999999996</v>
      </c>
      <c r="I41" s="11">
        <v>0.48</v>
      </c>
      <c r="J41" s="12">
        <v>29.52</v>
      </c>
    </row>
    <row r="42" spans="1:10" ht="15.6" x14ac:dyDescent="0.3">
      <c r="A42" s="9"/>
      <c r="B42" s="15" t="s">
        <v>16</v>
      </c>
      <c r="C42" s="95" t="s">
        <v>20</v>
      </c>
      <c r="D42" s="96" t="s">
        <v>21</v>
      </c>
      <c r="E42" s="60" t="s">
        <v>38</v>
      </c>
      <c r="F42" s="58">
        <f>43.64*0.06</f>
        <v>2.6183999999999998</v>
      </c>
      <c r="G42" s="13">
        <v>126</v>
      </c>
      <c r="H42" s="13">
        <v>2.94</v>
      </c>
      <c r="I42" s="13">
        <v>0.6</v>
      </c>
      <c r="J42" s="14">
        <v>26.88</v>
      </c>
    </row>
    <row r="43" spans="1:10" ht="16.2" thickBot="1" x14ac:dyDescent="0.35">
      <c r="A43" s="46"/>
      <c r="B43" s="47"/>
      <c r="C43" s="48"/>
      <c r="D43" s="48"/>
      <c r="E43" s="64"/>
      <c r="F43" s="65">
        <v>102.06</v>
      </c>
      <c r="G43" s="49">
        <f>SUM(G37:G42)</f>
        <v>897.17000000000007</v>
      </c>
      <c r="H43" s="49">
        <f>SUM(H37:H42)</f>
        <v>33.43</v>
      </c>
      <c r="I43" s="49">
        <f>SUM(I37:I42)</f>
        <v>25.900000000000002</v>
      </c>
      <c r="J43" s="50">
        <f>SUM(J37:J42)</f>
        <v>122.90999999999998</v>
      </c>
    </row>
    <row r="44" spans="1:10" s="25" customFormat="1" x14ac:dyDescent="0.3">
      <c r="A44" s="24" t="s">
        <v>29</v>
      </c>
      <c r="B44"/>
      <c r="C44"/>
      <c r="D44"/>
      <c r="E44" s="26"/>
    </row>
    <row r="45" spans="1:10" x14ac:dyDescent="0.3">
      <c r="A45" s="24" t="s">
        <v>30</v>
      </c>
    </row>
  </sheetData>
  <mergeCells count="2">
    <mergeCell ref="B1:D1"/>
    <mergeCell ref="I1:J1"/>
  </mergeCells>
  <pageMargins left="0.23622047244094491" right="0.23622047244094491" top="0.15748031496062992" bottom="0.15748031496062992" header="0.11811023622047245" footer="0.11811023622047245"/>
  <pageSetup paperSize="9" scale="92" orientation="portrait" r:id="rId1"/>
  <ignoredErrors>
    <ignoredError sqref="I11:J11 J15 F16 F8 F29 F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zoomScale="115" zoomScaleNormal="115" workbookViewId="0">
      <selection activeCell="I1" sqref="I1:J1"/>
    </sheetView>
  </sheetViews>
  <sheetFormatPr defaultRowHeight="14.4" x14ac:dyDescent="0.3"/>
  <cols>
    <col min="1" max="1" width="11.77734375" style="25" bestFit="1" customWidth="1"/>
    <col min="2" max="2" width="11.5546875" style="25" customWidth="1"/>
    <col min="3" max="3" width="7.109375" style="25" bestFit="1" customWidth="1"/>
    <col min="4" max="4" width="24.6640625" style="25" bestFit="1" customWidth="1"/>
    <col min="5" max="5" width="9.5546875" style="26" customWidth="1"/>
    <col min="6" max="6" width="7.109375" style="25" bestFit="1" customWidth="1"/>
    <col min="7" max="7" width="7.6640625" style="25" customWidth="1"/>
    <col min="8" max="8" width="6.77734375" style="25" bestFit="1" customWidth="1"/>
    <col min="9" max="9" width="6.5546875" style="25" customWidth="1"/>
    <col min="10" max="10" width="8.5546875" style="25" customWidth="1"/>
    <col min="11" max="16384" width="8.88671875" style="25"/>
  </cols>
  <sheetData>
    <row r="1" spans="1:10" ht="28.8" customHeight="1" x14ac:dyDescent="0.3">
      <c r="A1" s="25" t="s">
        <v>0</v>
      </c>
      <c r="B1" s="107" t="s">
        <v>58</v>
      </c>
      <c r="C1" s="108"/>
      <c r="D1" s="109"/>
      <c r="E1" s="26" t="s">
        <v>27</v>
      </c>
      <c r="F1" s="27"/>
      <c r="H1" s="25" t="s">
        <v>37</v>
      </c>
      <c r="I1" s="106">
        <v>45205</v>
      </c>
      <c r="J1" s="106"/>
    </row>
    <row r="2" spans="1:10" ht="15" thickBot="1" x14ac:dyDescent="0.35">
      <c r="B2" s="28" t="s">
        <v>31</v>
      </c>
    </row>
    <row r="3" spans="1:10" s="34" customFormat="1" ht="29.4" thickBot="1" x14ac:dyDescent="0.35">
      <c r="A3" s="29" t="s">
        <v>1</v>
      </c>
      <c r="B3" s="30" t="s">
        <v>2</v>
      </c>
      <c r="C3" s="30" t="s">
        <v>18</v>
      </c>
      <c r="D3" s="30" t="s">
        <v>3</v>
      </c>
      <c r="E3" s="31" t="s">
        <v>19</v>
      </c>
      <c r="F3" s="31" t="s">
        <v>4</v>
      </c>
      <c r="G3" s="32" t="s">
        <v>5</v>
      </c>
      <c r="H3" s="30" t="s">
        <v>6</v>
      </c>
      <c r="I3" s="30" t="s">
        <v>7</v>
      </c>
      <c r="J3" s="33" t="s">
        <v>8</v>
      </c>
    </row>
    <row r="4" spans="1:10" ht="28.8" x14ac:dyDescent="0.3">
      <c r="A4" s="5" t="s">
        <v>9</v>
      </c>
      <c r="B4" s="36" t="s">
        <v>10</v>
      </c>
      <c r="C4" s="85">
        <v>43</v>
      </c>
      <c r="D4" s="86" t="s">
        <v>39</v>
      </c>
      <c r="E4" s="52" t="s">
        <v>47</v>
      </c>
      <c r="F4" s="53">
        <f>24.45*250/200</f>
        <v>30.5625</v>
      </c>
      <c r="G4" s="7">
        <f>260*250/200</f>
        <v>325</v>
      </c>
      <c r="H4" s="7">
        <f>8.01*250/200</f>
        <v>10.012499999999999</v>
      </c>
      <c r="I4" s="7">
        <f>8.64*250/200</f>
        <v>10.8</v>
      </c>
      <c r="J4" s="8">
        <f>38*250/200</f>
        <v>47.5</v>
      </c>
    </row>
    <row r="5" spans="1:10" ht="15.6" x14ac:dyDescent="0.3">
      <c r="A5" s="9"/>
      <c r="B5" s="38" t="s">
        <v>11</v>
      </c>
      <c r="C5" s="87">
        <v>30</v>
      </c>
      <c r="D5" s="88" t="s">
        <v>40</v>
      </c>
      <c r="E5" s="54">
        <v>200</v>
      </c>
      <c r="F5" s="55">
        <v>4.76</v>
      </c>
      <c r="G5" s="11">
        <v>43</v>
      </c>
      <c r="H5" s="11">
        <v>0.06</v>
      </c>
      <c r="I5" s="11">
        <v>0.01</v>
      </c>
      <c r="J5" s="12">
        <v>10.220000000000001</v>
      </c>
    </row>
    <row r="6" spans="1:10" ht="15.6" x14ac:dyDescent="0.3">
      <c r="A6" s="9"/>
      <c r="B6" s="39" t="s">
        <v>22</v>
      </c>
      <c r="C6" s="87">
        <v>3</v>
      </c>
      <c r="D6" s="88" t="s">
        <v>41</v>
      </c>
      <c r="E6" s="54">
        <v>10</v>
      </c>
      <c r="F6" s="55">
        <f>14.36*10/10</f>
        <v>14.36</v>
      </c>
      <c r="G6" s="11">
        <f>65*10/10</f>
        <v>65</v>
      </c>
      <c r="H6" s="11">
        <f>0.08*10/10</f>
        <v>0.08</v>
      </c>
      <c r="I6" s="11">
        <f>7.15*10/10</f>
        <v>7.15</v>
      </c>
      <c r="J6" s="12">
        <f>0.13*10/10</f>
        <v>0.13</v>
      </c>
    </row>
    <row r="7" spans="1:10" ht="15.6" x14ac:dyDescent="0.3">
      <c r="A7" s="9"/>
      <c r="B7" s="39" t="s">
        <v>22</v>
      </c>
      <c r="C7" s="87">
        <v>6</v>
      </c>
      <c r="D7" s="88" t="s">
        <v>42</v>
      </c>
      <c r="E7" s="54">
        <v>16</v>
      </c>
      <c r="F7" s="55">
        <f>13.32*16/12</f>
        <v>17.760000000000002</v>
      </c>
      <c r="G7" s="11">
        <f>42*16/12</f>
        <v>56</v>
      </c>
      <c r="H7" s="11">
        <f>3.16*16/12</f>
        <v>4.2133333333333338</v>
      </c>
      <c r="I7" s="11">
        <f>3.19*16/12</f>
        <v>4.253333333333333</v>
      </c>
      <c r="J7" s="12">
        <f>0*17/12</f>
        <v>0</v>
      </c>
    </row>
    <row r="8" spans="1:10" ht="15.6" x14ac:dyDescent="0.3">
      <c r="A8" s="9"/>
      <c r="B8" s="39" t="s">
        <v>22</v>
      </c>
      <c r="C8" s="87" t="s">
        <v>20</v>
      </c>
      <c r="D8" s="88" t="s">
        <v>43</v>
      </c>
      <c r="E8" s="54">
        <v>38</v>
      </c>
      <c r="F8" s="55">
        <f>152.4*0.038*1.33</f>
        <v>7.7022960000000005</v>
      </c>
      <c r="G8" s="11">
        <v>83.79</v>
      </c>
      <c r="H8" s="11">
        <v>4.67</v>
      </c>
      <c r="I8" s="11">
        <v>1.79</v>
      </c>
      <c r="J8" s="12">
        <v>12.12</v>
      </c>
    </row>
    <row r="9" spans="1:10" ht="15.6" x14ac:dyDescent="0.3">
      <c r="A9" s="9"/>
      <c r="B9" s="38" t="s">
        <v>16</v>
      </c>
      <c r="C9" s="87" t="s">
        <v>20</v>
      </c>
      <c r="D9" s="88" t="s">
        <v>21</v>
      </c>
      <c r="E9" s="54">
        <v>30</v>
      </c>
      <c r="F9" s="55">
        <v>1.55</v>
      </c>
      <c r="G9" s="11">
        <f>42*30/20</f>
        <v>63</v>
      </c>
      <c r="H9" s="11">
        <f>0.98*30/20</f>
        <v>1.47</v>
      </c>
      <c r="I9" s="11">
        <f>0.2*30/20</f>
        <v>0.3</v>
      </c>
      <c r="J9" s="12">
        <f>8.96*30/20</f>
        <v>13.440000000000001</v>
      </c>
    </row>
    <row r="10" spans="1:10" ht="15.6" x14ac:dyDescent="0.3">
      <c r="A10" s="9"/>
      <c r="B10" s="39" t="s">
        <v>17</v>
      </c>
      <c r="C10" s="87" t="s">
        <v>20</v>
      </c>
      <c r="D10" s="88" t="s">
        <v>25</v>
      </c>
      <c r="E10" s="54">
        <v>30</v>
      </c>
      <c r="F10" s="55">
        <f>43.63*0.03</f>
        <v>1.3089</v>
      </c>
      <c r="G10" s="11">
        <f>47*30/20</f>
        <v>70.5</v>
      </c>
      <c r="H10" s="11">
        <f>1.52*30/20</f>
        <v>2.2800000000000002</v>
      </c>
      <c r="I10" s="11">
        <f>0.16*30/20</f>
        <v>0.24</v>
      </c>
      <c r="J10" s="12">
        <f>9.84*30/20</f>
        <v>14.76</v>
      </c>
    </row>
    <row r="11" spans="1:10" ht="16.2" thickBot="1" x14ac:dyDescent="0.35">
      <c r="A11" s="9"/>
      <c r="B11" s="70"/>
      <c r="C11" s="89"/>
      <c r="D11" s="90"/>
      <c r="E11" s="71"/>
      <c r="F11" s="72">
        <f>SUM(F4:F10)</f>
        <v>78.003695999999991</v>
      </c>
      <c r="G11" s="73">
        <f>SUM(G4:G10)</f>
        <v>706.29</v>
      </c>
      <c r="H11" s="73">
        <f>SUM(H4:H10)</f>
        <v>22.785833333333336</v>
      </c>
      <c r="I11" s="73">
        <f>SUM(I4:I10)</f>
        <v>24.543333333333333</v>
      </c>
      <c r="J11" s="77">
        <f>SUM(J4:J10)</f>
        <v>98.17</v>
      </c>
    </row>
    <row r="12" spans="1:10" ht="15.6" x14ac:dyDescent="0.3">
      <c r="A12" s="35"/>
      <c r="B12" s="80" t="s">
        <v>13</v>
      </c>
      <c r="C12" s="99">
        <v>4</v>
      </c>
      <c r="D12" s="100" t="s">
        <v>32</v>
      </c>
      <c r="E12" s="81" t="s">
        <v>38</v>
      </c>
      <c r="F12" s="82">
        <v>37.270000000000003</v>
      </c>
      <c r="G12" s="83">
        <v>8</v>
      </c>
      <c r="H12" s="83">
        <v>0.48</v>
      </c>
      <c r="I12" s="83">
        <v>0.06</v>
      </c>
      <c r="J12" s="84">
        <v>1.02</v>
      </c>
    </row>
    <row r="13" spans="1:10" ht="15.6" x14ac:dyDescent="0.3">
      <c r="A13" s="37"/>
      <c r="B13" s="38" t="s">
        <v>10</v>
      </c>
      <c r="C13" s="87">
        <v>39</v>
      </c>
      <c r="D13" s="88" t="s">
        <v>50</v>
      </c>
      <c r="E13" s="59" t="s">
        <v>53</v>
      </c>
      <c r="F13" s="55">
        <f>36.17*33/36+20.37*167/164</f>
        <v>53.898455284552846</v>
      </c>
      <c r="G13" s="11">
        <v>269.10000000000002</v>
      </c>
      <c r="H13" s="11">
        <v>9.82</v>
      </c>
      <c r="I13" s="11">
        <v>17.47</v>
      </c>
      <c r="J13" s="12">
        <v>16.760000000000002</v>
      </c>
    </row>
    <row r="14" spans="1:10" ht="15.6" x14ac:dyDescent="0.3">
      <c r="A14" s="37"/>
      <c r="B14" s="10" t="s">
        <v>24</v>
      </c>
      <c r="C14" s="93">
        <v>17</v>
      </c>
      <c r="D14" s="94" t="s">
        <v>51</v>
      </c>
      <c r="E14" s="59" t="s">
        <v>34</v>
      </c>
      <c r="F14" s="55">
        <v>5.71</v>
      </c>
      <c r="G14" s="11">
        <v>80</v>
      </c>
      <c r="H14" s="11">
        <v>0.44</v>
      </c>
      <c r="I14" s="11">
        <v>0</v>
      </c>
      <c r="J14" s="12">
        <v>18.899999999999999</v>
      </c>
    </row>
    <row r="15" spans="1:10" ht="15.6" x14ac:dyDescent="0.3">
      <c r="A15" s="37"/>
      <c r="B15" s="38" t="s">
        <v>16</v>
      </c>
      <c r="C15" s="87" t="s">
        <v>20</v>
      </c>
      <c r="D15" s="88" t="s">
        <v>21</v>
      </c>
      <c r="E15" s="54">
        <v>33</v>
      </c>
      <c r="F15" s="55">
        <v>1.68</v>
      </c>
      <c r="G15" s="11">
        <f>63*33/30</f>
        <v>69.3</v>
      </c>
      <c r="H15" s="11">
        <f>1.47*33/30</f>
        <v>1.617</v>
      </c>
      <c r="I15" s="11">
        <f>0.3*33/30</f>
        <v>0.33</v>
      </c>
      <c r="J15" s="12">
        <f>13.44*33/30</f>
        <v>14.783999999999999</v>
      </c>
    </row>
    <row r="16" spans="1:10" ht="15.6" x14ac:dyDescent="0.3">
      <c r="A16" s="37"/>
      <c r="B16" s="39" t="s">
        <v>17</v>
      </c>
      <c r="C16" s="87" t="s">
        <v>20</v>
      </c>
      <c r="D16" s="88" t="s">
        <v>25</v>
      </c>
      <c r="E16" s="54">
        <v>33</v>
      </c>
      <c r="F16" s="55">
        <f>43.63*0.033</f>
        <v>1.4397900000000001</v>
      </c>
      <c r="G16" s="11">
        <f>70.5*33/30</f>
        <v>77.55</v>
      </c>
      <c r="H16" s="11">
        <f>2.28*33/30</f>
        <v>2.508</v>
      </c>
      <c r="I16" s="11">
        <f>0.24*33/30</f>
        <v>0.26400000000000001</v>
      </c>
      <c r="J16" s="12">
        <f>14.76*33/30</f>
        <v>16.236000000000001</v>
      </c>
    </row>
    <row r="17" spans="1:10" ht="16.2" thickBot="1" x14ac:dyDescent="0.35">
      <c r="A17" s="40"/>
      <c r="B17" s="41"/>
      <c r="C17" s="101"/>
      <c r="D17" s="101"/>
      <c r="E17" s="74"/>
      <c r="F17" s="75">
        <f>SUM(F12:F16)</f>
        <v>99.998245284552851</v>
      </c>
      <c r="G17" s="44">
        <f>SUM(G12:G16)</f>
        <v>503.95000000000005</v>
      </c>
      <c r="H17" s="44">
        <f>SUM(H12:H16)</f>
        <v>14.864999999999998</v>
      </c>
      <c r="I17" s="44">
        <f>SUM(I12:I16)</f>
        <v>18.123999999999995</v>
      </c>
      <c r="J17" s="45">
        <f>SUM(J12:J16)</f>
        <v>67.7</v>
      </c>
    </row>
    <row r="18" spans="1:10" ht="34.799999999999997" customHeight="1" x14ac:dyDescent="0.3">
      <c r="A18" s="35"/>
      <c r="B18" s="80" t="s">
        <v>13</v>
      </c>
      <c r="C18" s="99">
        <v>4</v>
      </c>
      <c r="D18" s="100" t="s">
        <v>32</v>
      </c>
      <c r="E18" s="81" t="s">
        <v>38</v>
      </c>
      <c r="F18" s="82">
        <f>37.27*60/60</f>
        <v>37.270000000000003</v>
      </c>
      <c r="G18" s="83">
        <v>8</v>
      </c>
      <c r="H18" s="83">
        <v>0.48</v>
      </c>
      <c r="I18" s="83">
        <v>0.06</v>
      </c>
      <c r="J18" s="84">
        <v>1.02</v>
      </c>
    </row>
    <row r="19" spans="1:10" ht="43.2" x14ac:dyDescent="0.3">
      <c r="A19" s="37"/>
      <c r="B19" s="10" t="s">
        <v>14</v>
      </c>
      <c r="C19" s="93">
        <v>49</v>
      </c>
      <c r="D19" s="94" t="s">
        <v>46</v>
      </c>
      <c r="E19" s="59" t="s">
        <v>54</v>
      </c>
      <c r="F19" s="55">
        <f>11.26*230/220+19.86*20/30</f>
        <v>25.011818181818178</v>
      </c>
      <c r="G19" s="11">
        <v>170</v>
      </c>
      <c r="H19" s="11">
        <v>8.15</v>
      </c>
      <c r="I19" s="11">
        <v>7.7</v>
      </c>
      <c r="J19" s="12">
        <v>13.12</v>
      </c>
    </row>
    <row r="20" spans="1:10" ht="15.6" x14ac:dyDescent="0.3">
      <c r="A20" s="37"/>
      <c r="B20" s="38" t="s">
        <v>10</v>
      </c>
      <c r="C20" s="87">
        <v>39</v>
      </c>
      <c r="D20" s="88" t="s">
        <v>50</v>
      </c>
      <c r="E20" s="59" t="s">
        <v>53</v>
      </c>
      <c r="F20" s="55">
        <f>36.17*33/36+20.37*167/164</f>
        <v>53.898455284552846</v>
      </c>
      <c r="G20" s="11">
        <v>269.10000000000002</v>
      </c>
      <c r="H20" s="11">
        <v>9.82</v>
      </c>
      <c r="I20" s="11">
        <v>17.47</v>
      </c>
      <c r="J20" s="12">
        <v>16.760000000000002</v>
      </c>
    </row>
    <row r="21" spans="1:10" ht="15.6" x14ac:dyDescent="0.3">
      <c r="A21" s="37"/>
      <c r="B21" s="10" t="s">
        <v>24</v>
      </c>
      <c r="C21" s="93">
        <v>17</v>
      </c>
      <c r="D21" s="94" t="s">
        <v>51</v>
      </c>
      <c r="E21" s="59" t="s">
        <v>34</v>
      </c>
      <c r="F21" s="55">
        <v>5.71</v>
      </c>
      <c r="G21" s="11">
        <v>80</v>
      </c>
      <c r="H21" s="11">
        <v>0.44</v>
      </c>
      <c r="I21" s="11">
        <v>0</v>
      </c>
      <c r="J21" s="12">
        <v>18.899999999999999</v>
      </c>
    </row>
    <row r="22" spans="1:10" ht="15.6" x14ac:dyDescent="0.3">
      <c r="A22" s="37"/>
      <c r="B22" s="38" t="s">
        <v>16</v>
      </c>
      <c r="C22" s="87" t="s">
        <v>20</v>
      </c>
      <c r="D22" s="88" t="s">
        <v>21</v>
      </c>
      <c r="E22" s="54">
        <v>33</v>
      </c>
      <c r="F22" s="55">
        <v>1.68</v>
      </c>
      <c r="G22" s="11">
        <f>63*33/30</f>
        <v>69.3</v>
      </c>
      <c r="H22" s="11">
        <f>1.47*33/30</f>
        <v>1.617</v>
      </c>
      <c r="I22" s="11">
        <f>0.3*33/30</f>
        <v>0.33</v>
      </c>
      <c r="J22" s="12">
        <f>13.44*33/30</f>
        <v>14.783999999999999</v>
      </c>
    </row>
    <row r="23" spans="1:10" ht="15.6" x14ac:dyDescent="0.3">
      <c r="A23" s="37"/>
      <c r="B23" s="39" t="s">
        <v>17</v>
      </c>
      <c r="C23" s="87" t="s">
        <v>20</v>
      </c>
      <c r="D23" s="88" t="s">
        <v>25</v>
      </c>
      <c r="E23" s="54">
        <v>33</v>
      </c>
      <c r="F23" s="55">
        <f>43.63*0.033</f>
        <v>1.4397900000000001</v>
      </c>
      <c r="G23" s="11">
        <f>70.5*33/30</f>
        <v>77.55</v>
      </c>
      <c r="H23" s="11">
        <f>2.28*33/30</f>
        <v>2.508</v>
      </c>
      <c r="I23" s="11">
        <f>0.24*33/30</f>
        <v>0.26400000000000001</v>
      </c>
      <c r="J23" s="12">
        <f>14.76*33/30</f>
        <v>16.236000000000001</v>
      </c>
    </row>
    <row r="24" spans="1:10" ht="16.2" thickBot="1" x14ac:dyDescent="0.35">
      <c r="A24" s="40"/>
      <c r="B24" s="41"/>
      <c r="C24" s="42"/>
      <c r="D24" s="42"/>
      <c r="E24" s="43"/>
      <c r="F24" s="76">
        <v>125</v>
      </c>
      <c r="G24" s="44">
        <f>SUM(G18:G23)</f>
        <v>673.94999999999993</v>
      </c>
      <c r="H24" s="44">
        <f>SUM(H18:H23)</f>
        <v>23.015000000000004</v>
      </c>
      <c r="I24" s="44">
        <f>SUM(I18:I23)</f>
        <v>25.823999999999995</v>
      </c>
      <c r="J24" s="45">
        <f>SUM(J18:J23)</f>
        <v>80.820000000000007</v>
      </c>
    </row>
    <row r="25" spans="1:10" customFormat="1" x14ac:dyDescent="0.3">
      <c r="E25" s="17"/>
    </row>
    <row r="26" spans="1:10" customFormat="1" x14ac:dyDescent="0.3">
      <c r="A26" s="24" t="s">
        <v>29</v>
      </c>
      <c r="E26" s="17"/>
    </row>
    <row r="27" spans="1:10" customFormat="1" x14ac:dyDescent="0.3">
      <c r="E27" s="17"/>
    </row>
    <row r="28" spans="1:10" customFormat="1" x14ac:dyDescent="0.3">
      <c r="A28" s="24" t="s">
        <v>30</v>
      </c>
      <c r="E28" s="17"/>
    </row>
    <row r="29" spans="1:10" customFormat="1" x14ac:dyDescent="0.3">
      <c r="E29" s="17"/>
    </row>
  </sheetData>
  <mergeCells count="2">
    <mergeCell ref="B1:D1"/>
    <mergeCell ref="I1:J1"/>
  </mergeCells>
  <pageMargins left="0.11811023622047245" right="0.11811023622047245" top="0.15748031496062992" bottom="0.15748031496062992" header="0.11811023622047245" footer="0.11811023622047245"/>
  <pageSetup paperSize="9" scale="99" orientation="portrait" r:id="rId1"/>
  <ignoredErrors>
    <ignoredError sqref="F11:G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2023-09-21T04:25:26Z</cp:lastPrinted>
  <dcterms:created xsi:type="dcterms:W3CDTF">2015-06-05T18:19:34Z</dcterms:created>
  <dcterms:modified xsi:type="dcterms:W3CDTF">2023-10-05T04:15:16Z</dcterms:modified>
</cp:coreProperties>
</file>