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F645EC16-081F-45ED-A199-ED7EA2EEAF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17" i="2" l="1"/>
  <c r="I17" i="2"/>
  <c r="H17" i="2"/>
  <c r="G17" i="2"/>
  <c r="F18" i="2"/>
  <c r="F17" i="2"/>
  <c r="F19" i="2"/>
  <c r="J15" i="2"/>
  <c r="I15" i="2"/>
  <c r="H15" i="2"/>
  <c r="G15" i="2"/>
  <c r="J14" i="2"/>
  <c r="I14" i="2"/>
  <c r="H14" i="2"/>
  <c r="G14" i="2"/>
  <c r="F15" i="2"/>
  <c r="F11" i="2"/>
  <c r="F12" i="2"/>
  <c r="J9" i="2"/>
  <c r="I9" i="2"/>
  <c r="H9" i="2"/>
  <c r="G9" i="2"/>
  <c r="J8" i="2"/>
  <c r="I8" i="2"/>
  <c r="H8" i="2"/>
  <c r="G8" i="2"/>
  <c r="F9" i="2"/>
  <c r="J5" i="2"/>
  <c r="I5" i="2"/>
  <c r="H5" i="2"/>
  <c r="G5" i="2"/>
  <c r="F5" i="2"/>
  <c r="F4" i="2"/>
  <c r="F6" i="2"/>
  <c r="F39" i="1"/>
  <c r="J35" i="1"/>
  <c r="I35" i="1"/>
  <c r="H35" i="1"/>
  <c r="G35" i="1"/>
  <c r="F35" i="1"/>
  <c r="F37" i="1"/>
  <c r="F36" i="1"/>
  <c r="J29" i="1"/>
  <c r="I29" i="1"/>
  <c r="H29" i="1"/>
  <c r="G29" i="1"/>
  <c r="J28" i="1"/>
  <c r="I28" i="1"/>
  <c r="H28" i="1"/>
  <c r="G28" i="1"/>
  <c r="F28" i="1"/>
  <c r="F26" i="1"/>
  <c r="F25" i="1"/>
  <c r="J20" i="1"/>
  <c r="I20" i="1"/>
  <c r="H20" i="1"/>
  <c r="G20" i="1"/>
  <c r="J19" i="1"/>
  <c r="I19" i="1"/>
  <c r="H19" i="1"/>
  <c r="G19" i="1"/>
  <c r="F20" i="1"/>
  <c r="F15" i="1"/>
  <c r="F16" i="1"/>
  <c r="F17" i="1"/>
  <c r="J9" i="1"/>
  <c r="I9" i="1"/>
  <c r="H9" i="1"/>
  <c r="G9" i="1"/>
  <c r="J8" i="1"/>
  <c r="I8" i="1"/>
  <c r="H8" i="1"/>
  <c r="G8" i="1"/>
  <c r="F9" i="1"/>
  <c r="F8" i="1"/>
  <c r="F6" i="1"/>
  <c r="F16" i="2" l="1"/>
  <c r="F10" i="2"/>
  <c r="F41" i="1"/>
  <c r="H16" i="2"/>
  <c r="F22" i="2"/>
  <c r="F21" i="2"/>
  <c r="J11" i="2"/>
  <c r="I11" i="2"/>
  <c r="H11" i="2"/>
  <c r="G11" i="2"/>
  <c r="F33" i="1"/>
  <c r="F32" i="1"/>
  <c r="F30" i="1"/>
  <c r="F24" i="1"/>
  <c r="F13" i="1"/>
  <c r="F12" i="1"/>
  <c r="F4" i="1"/>
  <c r="G23" i="2"/>
  <c r="G16" i="2"/>
  <c r="J10" i="2"/>
  <c r="I10" i="2"/>
  <c r="H10" i="2"/>
  <c r="G10" i="2"/>
  <c r="F21" i="1"/>
  <c r="G10" i="1" l="1"/>
  <c r="J23" i="2" l="1"/>
  <c r="I23" i="2"/>
  <c r="H23" i="2"/>
  <c r="J34" i="1"/>
  <c r="I34" i="1"/>
  <c r="H34" i="1"/>
  <c r="G34" i="1"/>
  <c r="J14" i="1"/>
  <c r="I14" i="1"/>
  <c r="H14" i="1"/>
  <c r="G14" i="1"/>
  <c r="J41" i="1"/>
  <c r="I41" i="1"/>
  <c r="H41" i="1"/>
  <c r="G41" i="1"/>
  <c r="J30" i="1"/>
  <c r="I30" i="1"/>
  <c r="H30" i="1"/>
  <c r="G30" i="1"/>
  <c r="J21" i="1" l="1"/>
  <c r="I21" i="1"/>
  <c r="H21" i="1"/>
  <c r="G21" i="1"/>
  <c r="H10" i="1" l="1"/>
  <c r="J10" i="1" l="1"/>
  <c r="I10" i="1" l="1"/>
  <c r="I16" i="2" l="1"/>
  <c r="J16" i="2"/>
</calcChain>
</file>

<file path=xl/sharedStrings.xml><?xml version="1.0" encoding="utf-8"?>
<sst xmlns="http://schemas.openxmlformats.org/spreadsheetml/2006/main" count="195" uniqueCount="66">
  <si>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</si>
  <si>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</si>
  <si>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</si>
  <si>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</si>
  <si>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</si>
  <si>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</si>
  <si>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</si>
  <si>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</si>
  <si>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</si>
  <si>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</si>
  <si>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</si>
  <si>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</si>
  <si>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</si>
  <si>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</si>
  <si>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</si>
  <si>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</si>
  <si>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</si>
  <si>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</si>
  <si>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</si>
  <si>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</si>
  <si>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</si>
  <si>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</si>
  <si>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</si>
  <si>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</si>
  <si>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</si>
  <si>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</si>
  <si>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</si>
  <si>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</si>
  <si>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</si>
  <si>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гарнир</t>
  </si>
  <si>
    <t>45/45</t>
  </si>
  <si>
    <t>добавка</t>
  </si>
  <si>
    <t>40</t>
  </si>
  <si>
    <t>Творожное печенье</t>
  </si>
  <si>
    <t>200</t>
  </si>
  <si>
    <t>180</t>
  </si>
  <si>
    <t>160</t>
  </si>
  <si>
    <t>гор.напиток</t>
  </si>
  <si>
    <t>Чай с сахаром</t>
  </si>
  <si>
    <t>Яблоко</t>
  </si>
  <si>
    <t>Рис отварной</t>
  </si>
  <si>
    <t>Рыба,тушеная в томате с овощами</t>
  </si>
  <si>
    <t xml:space="preserve">Чай с молоком </t>
  </si>
  <si>
    <t>50</t>
  </si>
  <si>
    <t>Шанежка с картофелем</t>
  </si>
  <si>
    <t xml:space="preserve">Зеленый горошек </t>
  </si>
  <si>
    <t>Макаронник с мясом</t>
  </si>
  <si>
    <t>Напиток из шиповника</t>
  </si>
  <si>
    <t>Свекольник со сметаной и мясом</t>
  </si>
  <si>
    <t>200/40</t>
  </si>
  <si>
    <t>156</t>
  </si>
  <si>
    <t>65</t>
  </si>
  <si>
    <t>235/5/10</t>
  </si>
  <si>
    <t>150</t>
  </si>
  <si>
    <t>240/5/5</t>
  </si>
  <si>
    <t>36</t>
  </si>
  <si>
    <t>37</t>
  </si>
  <si>
    <t>50/50</t>
  </si>
  <si>
    <t>75</t>
  </si>
  <si>
    <t>42</t>
  </si>
  <si>
    <t>43</t>
  </si>
  <si>
    <t>20</t>
  </si>
  <si>
    <t>230/50</t>
  </si>
  <si>
    <t>100</t>
  </si>
  <si>
    <t>МБОУ Зеледеевская СОШ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</si>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</sst>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1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14" xfId="0" applyFont="1" applyBorder="1"/>
    <xf numFmtId="2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0" fontId="0" fillId="0" borderId="15" xfId="0" applyBorder="1"/>
    <xf numFmtId="2" fontId="0" fillId="0" borderId="15" xfId="0" applyNumberFormat="1" applyBorder="1"/>
    <xf numFmtId="2" fontId="0" fillId="0" borderId="16" xfId="0" applyNumberFormat="1" applyBorder="1"/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 applyProtection="1">
      <protection locked="0"/>
    </xf>
    <xf numFmtId="2" fontId="0" fillId="0" borderId="20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2" fontId="6" fillId="0" borderId="15" xfId="0" applyNumberFormat="1" applyFont="1" applyBorder="1" applyAlignment="1">
      <alignment horizontal="center"/>
    </xf>
    <xf numFmtId="0" fontId="0" fillId="0" borderId="21" xfId="0" applyBorder="1"/>
    <xf numFmtId="49" fontId="6" fillId="0" borderId="6" xfId="0" applyNumberFormat="1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  <protection locked="0"/>
    </xf>
    <xf numFmtId="1" fontId="6" fillId="0" borderId="20" xfId="0" applyNumberFormat="1" applyFont="1" applyBorder="1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wrapText="1"/>
      <protection locked="0"/>
    </xf>
    <xf numFmtId="1" fontId="6" fillId="0" borderId="15" xfId="0" applyNumberFormat="1" applyFont="1" applyBorder="1" applyAlignment="1" applyProtection="1">
      <alignment horizontal="center"/>
      <protection locked="0"/>
    </xf>
    <xf numFmtId="2" fontId="6" fillId="0" borderId="15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2" fontId="0" fillId="0" borderId="22" xfId="0" applyNumberFormat="1" applyBorder="1" applyProtection="1">
      <protection locked="0"/>
    </xf>
    <xf numFmtId="0" fontId="3" fillId="0" borderId="4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8" fillId="0" borderId="15" xfId="0" applyFont="1" applyBorder="1" applyProtection="1"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wrapText="1"/>
      <protection locked="0"/>
    </xf>
    <xf numFmtId="1" fontId="10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Protection="1">
      <protection locked="0"/>
    </xf>
    <xf numFmtId="0" fontId="11" fillId="0" borderId="15" xfId="0" applyFont="1" applyBorder="1"/>
    <xf numFmtId="0" fontId="9" fillId="0" borderId="15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0" fillId="0" borderId="13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27" xfId="0" applyBorder="1"/>
    <xf numFmtId="2" fontId="3" fillId="0" borderId="15" xfId="0" applyNumberFormat="1" applyFont="1" applyBorder="1"/>
    <xf numFmtId="2" fontId="3" fillId="0" borderId="16" xfId="0" applyNumberFormat="1" applyFont="1" applyBorder="1"/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2"/>
  <sheetViews>
    <sheetView tabSelected="1" zoomScale="115" zoomScaleNormal="115" workbookViewId="0">
      <selection activeCell="F35" sqref="F35"/>
    </sheetView>
  </sheetViews>
  <sheetFormatPr defaultRowHeight="14.4" x14ac:dyDescent="0.3"/>
  <cols>
    <col min="1" max="1" width="11.109375" customWidth="1"/>
    <col min="2" max="2" width="11.5546875" customWidth="1"/>
    <col min="3" max="3" width="7.109375" bestFit="1" customWidth="1"/>
    <col min="4" max="4" width="24" customWidth="1"/>
    <col min="5" max="5" width="9.5546875" style="16" customWidth="1"/>
    <col min="6" max="6" width="11.88671875" style="16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00" t="s">
        <v>64</v>
      </c>
      <c r="C1" s="101"/>
      <c r="D1" s="102"/>
      <c r="E1" s="16" t="s">
        <v>24</v>
      </c>
      <c r="F1" s="15"/>
      <c r="G1" s="112" t="s">
        <v>65</v>
      </c>
      <c r="H1" s="111"/>
      <c r="I1" s="113">
        <v>45209</v>
      </c>
      <c r="J1" s="113"/>
    </row>
    <row r="2" spans="1:10" ht="15" thickBot="1" x14ac:dyDescent="0.35">
      <c r="B2" s="1" t="s">
        <v>23</v>
      </c>
    </row>
    <row r="3" spans="1:10" s="17" customFormat="1" ht="29.4" thickBot="1" x14ac:dyDescent="0.35">
      <c r="A3" s="91" t="s">
        <v>1</v>
      </c>
      <c r="B3" s="92" t="s">
        <v>2</v>
      </c>
      <c r="C3" s="92" t="s">
        <v>16</v>
      </c>
      <c r="D3" s="92" t="s">
        <v>3</v>
      </c>
      <c r="E3" s="93" t="s">
        <v>17</v>
      </c>
      <c r="F3" s="93" t="s">
        <v>4</v>
      </c>
      <c r="G3" s="94" t="s">
        <v>5</v>
      </c>
      <c r="H3" s="92" t="s">
        <v>6</v>
      </c>
      <c r="I3" s="92" t="s">
        <v>7</v>
      </c>
      <c r="J3" s="95" t="s">
        <v>8</v>
      </c>
    </row>
    <row r="4" spans="1:10" ht="15.6" x14ac:dyDescent="0.3">
      <c r="A4" s="6" t="s">
        <v>9</v>
      </c>
      <c r="B4" s="90" t="s">
        <v>31</v>
      </c>
      <c r="C4" s="46" t="s">
        <v>18</v>
      </c>
      <c r="D4" s="47" t="s">
        <v>33</v>
      </c>
      <c r="E4" s="48" t="s">
        <v>32</v>
      </c>
      <c r="F4" s="49">
        <f>152.4*0.04</f>
        <v>6.0960000000000001</v>
      </c>
      <c r="G4" s="13">
        <v>44.1</v>
      </c>
      <c r="H4" s="13">
        <v>2.46</v>
      </c>
      <c r="I4" s="13">
        <v>0.94</v>
      </c>
      <c r="J4" s="28">
        <v>6.38</v>
      </c>
    </row>
    <row r="5" spans="1:10" ht="15.6" x14ac:dyDescent="0.3">
      <c r="A5" s="6"/>
      <c r="B5" s="26" t="s">
        <v>29</v>
      </c>
      <c r="C5" s="46">
        <v>41</v>
      </c>
      <c r="D5" s="47" t="s">
        <v>40</v>
      </c>
      <c r="E5" s="48" t="s">
        <v>53</v>
      </c>
      <c r="F5" s="49">
        <v>16.600000000000001</v>
      </c>
      <c r="G5" s="13">
        <v>209</v>
      </c>
      <c r="H5" s="13">
        <v>3.69</v>
      </c>
      <c r="I5" s="13">
        <v>5.48</v>
      </c>
      <c r="J5" s="28">
        <v>30.04</v>
      </c>
    </row>
    <row r="6" spans="1:10" ht="28.8" x14ac:dyDescent="0.3">
      <c r="A6" s="6"/>
      <c r="B6" s="75" t="s">
        <v>13</v>
      </c>
      <c r="C6" s="50">
        <v>51</v>
      </c>
      <c r="D6" s="51" t="s">
        <v>41</v>
      </c>
      <c r="E6" s="96" t="s">
        <v>30</v>
      </c>
      <c r="F6" s="53">
        <f>23.8*45/45+9.21*45/45</f>
        <v>33.010000000000005</v>
      </c>
      <c r="G6" s="8">
        <v>94</v>
      </c>
      <c r="H6" s="8">
        <v>8.67</v>
      </c>
      <c r="I6" s="8">
        <v>4.47</v>
      </c>
      <c r="J6" s="9">
        <v>4.67</v>
      </c>
    </row>
    <row r="7" spans="1:10" ht="15.6" x14ac:dyDescent="0.3">
      <c r="A7" s="6"/>
      <c r="B7" s="26" t="s">
        <v>37</v>
      </c>
      <c r="C7" s="50">
        <v>20</v>
      </c>
      <c r="D7" s="51" t="s">
        <v>42</v>
      </c>
      <c r="E7" s="52">
        <v>200</v>
      </c>
      <c r="F7" s="53">
        <v>3.22</v>
      </c>
      <c r="G7" s="8">
        <v>51.49</v>
      </c>
      <c r="H7" s="8">
        <v>0.92</v>
      </c>
      <c r="I7" s="8">
        <v>0.69</v>
      </c>
      <c r="J7" s="9">
        <v>10.41</v>
      </c>
    </row>
    <row r="8" spans="1:10" ht="15.6" x14ac:dyDescent="0.3">
      <c r="A8" s="6"/>
      <c r="B8" s="7" t="s">
        <v>15</v>
      </c>
      <c r="C8" s="50" t="s">
        <v>18</v>
      </c>
      <c r="D8" s="51" t="s">
        <v>19</v>
      </c>
      <c r="E8" s="52">
        <v>20</v>
      </c>
      <c r="F8" s="53">
        <f>43.64*0.02</f>
        <v>0.87280000000000002</v>
      </c>
      <c r="G8" s="8">
        <f>42*20/20</f>
        <v>42</v>
      </c>
      <c r="H8" s="8">
        <f>0.98*20/20</f>
        <v>0.98000000000000009</v>
      </c>
      <c r="I8" s="8">
        <f>0.2*20/20</f>
        <v>0.2</v>
      </c>
      <c r="J8" s="9">
        <f>8.96*20/20</f>
        <v>8.9600000000000009</v>
      </c>
    </row>
    <row r="9" spans="1:10" ht="15.6" x14ac:dyDescent="0.3">
      <c r="A9" s="6"/>
      <c r="B9" s="7" t="s">
        <v>14</v>
      </c>
      <c r="C9" s="54" t="s">
        <v>18</v>
      </c>
      <c r="D9" s="51" t="s">
        <v>22</v>
      </c>
      <c r="E9" s="52">
        <v>20</v>
      </c>
      <c r="F9" s="53">
        <f>36.36*0.02</f>
        <v>0.72719999999999996</v>
      </c>
      <c r="G9" s="8">
        <f>47*20/20</f>
        <v>47</v>
      </c>
      <c r="H9" s="8">
        <f>1.52*20/20</f>
        <v>1.52</v>
      </c>
      <c r="I9" s="8">
        <f>0.16*20/20</f>
        <v>0.16</v>
      </c>
      <c r="J9" s="9">
        <f>9.84*20/20</f>
        <v>9.84</v>
      </c>
    </row>
    <row r="10" spans="1:10" ht="16.2" thickBot="1" x14ac:dyDescent="0.35">
      <c r="A10" s="37"/>
      <c r="B10" s="38"/>
      <c r="C10" s="55"/>
      <c r="D10" s="56"/>
      <c r="E10" s="57"/>
      <c r="F10" s="58">
        <v>58.52</v>
      </c>
      <c r="G10" s="39">
        <f>SUM(G4:G9)</f>
        <v>487.59000000000003</v>
      </c>
      <c r="H10" s="39">
        <f>SUM(H4:H9)</f>
        <v>18.239999999999998</v>
      </c>
      <c r="I10" s="39">
        <f>SUM(I4:I9)</f>
        <v>11.94</v>
      </c>
      <c r="J10" s="74">
        <f>SUM(J4:J9)</f>
        <v>70.3</v>
      </c>
    </row>
    <row r="11" spans="1:10" ht="13.8" customHeight="1" x14ac:dyDescent="0.3">
      <c r="A11" s="2" t="s">
        <v>20</v>
      </c>
      <c r="B11" s="3" t="s">
        <v>37</v>
      </c>
      <c r="C11" s="59">
        <v>57</v>
      </c>
      <c r="D11" s="60" t="s">
        <v>38</v>
      </c>
      <c r="E11" s="61">
        <v>200</v>
      </c>
      <c r="F11" s="45">
        <v>1.29</v>
      </c>
      <c r="G11" s="4">
        <v>41</v>
      </c>
      <c r="H11" s="4">
        <v>0</v>
      </c>
      <c r="I11" s="4">
        <v>0</v>
      </c>
      <c r="J11" s="5">
        <v>10.01</v>
      </c>
    </row>
    <row r="12" spans="1:10" ht="15.6" x14ac:dyDescent="0.3">
      <c r="A12" s="6"/>
      <c r="B12" s="10" t="s">
        <v>31</v>
      </c>
      <c r="C12" s="62" t="s">
        <v>18</v>
      </c>
      <c r="D12" s="63" t="s">
        <v>39</v>
      </c>
      <c r="E12" s="64" t="s">
        <v>50</v>
      </c>
      <c r="F12" s="53">
        <f>0.156*180</f>
        <v>28.08</v>
      </c>
      <c r="G12" s="8">
        <v>96</v>
      </c>
      <c r="H12" s="8">
        <v>1.5</v>
      </c>
      <c r="I12" s="8">
        <v>0.5</v>
      </c>
      <c r="J12" s="9">
        <v>21</v>
      </c>
    </row>
    <row r="13" spans="1:10" ht="15.6" x14ac:dyDescent="0.3">
      <c r="A13" s="6"/>
      <c r="B13" s="73" t="s">
        <v>31</v>
      </c>
      <c r="C13" s="69">
        <v>44</v>
      </c>
      <c r="D13" s="70" t="s">
        <v>44</v>
      </c>
      <c r="E13" s="71" t="s">
        <v>43</v>
      </c>
      <c r="F13" s="72">
        <f>17.84*50/50</f>
        <v>17.84</v>
      </c>
      <c r="G13" s="11">
        <v>171</v>
      </c>
      <c r="H13" s="11">
        <v>5.0199999999999996</v>
      </c>
      <c r="I13" s="11">
        <v>5.41</v>
      </c>
      <c r="J13" s="12">
        <v>23</v>
      </c>
    </row>
    <row r="14" spans="1:10" ht="16.2" thickBot="1" x14ac:dyDescent="0.35">
      <c r="A14" s="36"/>
      <c r="B14" s="30"/>
      <c r="C14" s="65"/>
      <c r="D14" s="66"/>
      <c r="E14" s="67"/>
      <c r="F14" s="68">
        <v>43.9</v>
      </c>
      <c r="G14" s="40">
        <f>SUM(G11:G13)</f>
        <v>308</v>
      </c>
      <c r="H14" s="40">
        <f>SUM(H11:H13)</f>
        <v>6.52</v>
      </c>
      <c r="I14" s="40">
        <f>SUM(I11:I13)</f>
        <v>5.91</v>
      </c>
      <c r="J14" s="41">
        <f>SUM(J11:J13)</f>
        <v>54.01</v>
      </c>
    </row>
    <row r="15" spans="1:10" ht="15.6" x14ac:dyDescent="0.3">
      <c r="A15" s="2" t="s">
        <v>10</v>
      </c>
      <c r="B15" s="3" t="s">
        <v>11</v>
      </c>
      <c r="C15" s="59">
        <v>1</v>
      </c>
      <c r="D15" s="60" t="s">
        <v>45</v>
      </c>
      <c r="E15" s="44" t="s">
        <v>51</v>
      </c>
      <c r="F15" s="45">
        <f>13.61*65/60</f>
        <v>14.744166666666667</v>
      </c>
      <c r="G15" s="4">
        <v>24</v>
      </c>
      <c r="H15" s="4">
        <v>1.86</v>
      </c>
      <c r="I15" s="4">
        <v>0.12</v>
      </c>
      <c r="J15" s="5">
        <v>3.9</v>
      </c>
    </row>
    <row r="16" spans="1:10" ht="28.8" x14ac:dyDescent="0.3">
      <c r="A16" s="6"/>
      <c r="B16" s="7" t="s">
        <v>12</v>
      </c>
      <c r="C16" s="62">
        <v>10</v>
      </c>
      <c r="D16" s="63" t="s">
        <v>48</v>
      </c>
      <c r="E16" s="64" t="s">
        <v>54</v>
      </c>
      <c r="F16" s="53">
        <f>12.68*245/245+1.84+7.37*0.5</f>
        <v>18.204999999999998</v>
      </c>
      <c r="G16" s="8">
        <v>118</v>
      </c>
      <c r="H16" s="8">
        <v>2.2200000000000002</v>
      </c>
      <c r="I16" s="8">
        <v>4.83</v>
      </c>
      <c r="J16" s="9">
        <v>11.84</v>
      </c>
    </row>
    <row r="17" spans="1:10" ht="15.6" x14ac:dyDescent="0.3">
      <c r="A17" s="6"/>
      <c r="B17" s="7" t="s">
        <v>13</v>
      </c>
      <c r="C17" s="62">
        <v>23</v>
      </c>
      <c r="D17" s="63" t="s">
        <v>46</v>
      </c>
      <c r="E17" s="64" t="s">
        <v>49</v>
      </c>
      <c r="F17" s="53">
        <f>42.86*40/51+10.15*200/189</f>
        <v>44.356427015250546</v>
      </c>
      <c r="G17" s="8">
        <v>376</v>
      </c>
      <c r="H17" s="8">
        <v>9.58</v>
      </c>
      <c r="I17" s="8">
        <v>12.59</v>
      </c>
      <c r="J17" s="9">
        <v>56.03</v>
      </c>
    </row>
    <row r="18" spans="1:10" ht="15.6" x14ac:dyDescent="0.3">
      <c r="A18" s="6"/>
      <c r="B18" s="7" t="s">
        <v>21</v>
      </c>
      <c r="C18" s="62">
        <v>35</v>
      </c>
      <c r="D18" s="63" t="s">
        <v>47</v>
      </c>
      <c r="E18" s="64" t="s">
        <v>34</v>
      </c>
      <c r="F18" s="53">
        <v>7.59</v>
      </c>
      <c r="G18" s="8">
        <v>97</v>
      </c>
      <c r="H18" s="8">
        <v>0.68</v>
      </c>
      <c r="I18" s="8">
        <v>0.28000000000000003</v>
      </c>
      <c r="J18" s="9">
        <v>19.64</v>
      </c>
    </row>
    <row r="19" spans="1:10" ht="15.6" x14ac:dyDescent="0.3">
      <c r="A19" s="6"/>
      <c r="B19" s="7" t="s">
        <v>15</v>
      </c>
      <c r="C19" s="62" t="s">
        <v>18</v>
      </c>
      <c r="D19" s="63" t="s">
        <v>19</v>
      </c>
      <c r="E19" s="64" t="s">
        <v>55</v>
      </c>
      <c r="F19" s="53">
        <v>1.55</v>
      </c>
      <c r="G19" s="8">
        <f>63*36/30</f>
        <v>75.599999999999994</v>
      </c>
      <c r="H19" s="8">
        <f>1.47*36/30</f>
        <v>1.764</v>
      </c>
      <c r="I19" s="8">
        <f>0.3*36/30</f>
        <v>0.36</v>
      </c>
      <c r="J19" s="9">
        <f>13.44*36/30</f>
        <v>16.128</v>
      </c>
    </row>
    <row r="20" spans="1:10" ht="15.6" x14ac:dyDescent="0.3">
      <c r="A20" s="6"/>
      <c r="B20" s="14" t="s">
        <v>14</v>
      </c>
      <c r="C20" s="69" t="s">
        <v>18</v>
      </c>
      <c r="D20" s="70" t="s">
        <v>22</v>
      </c>
      <c r="E20" s="71" t="s">
        <v>56</v>
      </c>
      <c r="F20" s="72">
        <f>36.36*0.037</f>
        <v>1.3453199999999998</v>
      </c>
      <c r="G20" s="11">
        <f>70.5*37/30</f>
        <v>86.95</v>
      </c>
      <c r="H20" s="11">
        <f>2.28*37/30</f>
        <v>2.8119999999999998</v>
      </c>
      <c r="I20" s="11">
        <f>0.24*37/30</f>
        <v>0.29599999999999999</v>
      </c>
      <c r="J20" s="12">
        <f>14.76*37/30</f>
        <v>18.204000000000001</v>
      </c>
    </row>
    <row r="21" spans="1:10" ht="16.2" thickBot="1" x14ac:dyDescent="0.35">
      <c r="A21" s="29"/>
      <c r="B21" s="30"/>
      <c r="C21" s="31"/>
      <c r="D21" s="31"/>
      <c r="E21" s="35"/>
      <c r="F21" s="42">
        <f>SUM(F15:F20)</f>
        <v>87.790913681917203</v>
      </c>
      <c r="G21" s="32">
        <f>SUM(G15:G20)</f>
        <v>777.55000000000007</v>
      </c>
      <c r="H21" s="32">
        <f>SUM(H15:H20)</f>
        <v>18.916</v>
      </c>
      <c r="I21" s="32">
        <f>SUM(I15:I20)</f>
        <v>18.475999999999999</v>
      </c>
      <c r="J21" s="33">
        <f>SUM(J15:J20)</f>
        <v>125.74199999999999</v>
      </c>
    </row>
    <row r="22" spans="1:10" ht="16.2" thickBot="1" x14ac:dyDescent="0.35">
      <c r="B22" s="1" t="s">
        <v>25</v>
      </c>
      <c r="E22" s="34"/>
      <c r="F22" s="34"/>
    </row>
    <row r="23" spans="1:10" ht="29.4" thickBot="1" x14ac:dyDescent="0.35">
      <c r="A23" s="91" t="s">
        <v>1</v>
      </c>
      <c r="B23" s="92" t="s">
        <v>2</v>
      </c>
      <c r="C23" s="92" t="s">
        <v>16</v>
      </c>
      <c r="D23" s="92" t="s">
        <v>3</v>
      </c>
      <c r="E23" s="93" t="s">
        <v>17</v>
      </c>
      <c r="F23" s="93" t="s">
        <v>4</v>
      </c>
      <c r="G23" s="94" t="s">
        <v>5</v>
      </c>
      <c r="H23" s="92" t="s">
        <v>6</v>
      </c>
      <c r="I23" s="92" t="s">
        <v>7</v>
      </c>
      <c r="J23" s="95" t="s">
        <v>8</v>
      </c>
    </row>
    <row r="24" spans="1:10" ht="15.6" x14ac:dyDescent="0.3">
      <c r="A24" s="6" t="s">
        <v>9</v>
      </c>
      <c r="B24" s="90" t="s">
        <v>31</v>
      </c>
      <c r="C24" s="46" t="s">
        <v>18</v>
      </c>
      <c r="D24" s="47" t="s">
        <v>33</v>
      </c>
      <c r="E24" s="48" t="s">
        <v>32</v>
      </c>
      <c r="F24" s="49">
        <f>152.4*0.04</f>
        <v>6.0960000000000001</v>
      </c>
      <c r="G24" s="13">
        <v>88.2</v>
      </c>
      <c r="H24" s="13">
        <v>4.92</v>
      </c>
      <c r="I24" s="13">
        <v>1.88</v>
      </c>
      <c r="J24" s="28">
        <v>12.76</v>
      </c>
    </row>
    <row r="25" spans="1:10" ht="15.6" x14ac:dyDescent="0.3">
      <c r="A25" s="6"/>
      <c r="B25" s="26" t="s">
        <v>29</v>
      </c>
      <c r="C25" s="46">
        <v>41</v>
      </c>
      <c r="D25" s="47" t="s">
        <v>40</v>
      </c>
      <c r="E25" s="48" t="s">
        <v>35</v>
      </c>
      <c r="F25" s="49">
        <f>19.52*180/180</f>
        <v>19.52</v>
      </c>
      <c r="G25" s="13">
        <v>250.8</v>
      </c>
      <c r="H25" s="13">
        <v>4.43</v>
      </c>
      <c r="I25" s="13">
        <v>6.58</v>
      </c>
      <c r="J25" s="28">
        <v>36.049999999999997</v>
      </c>
    </row>
    <row r="26" spans="1:10" ht="28.8" x14ac:dyDescent="0.3">
      <c r="A26" s="6"/>
      <c r="B26" s="75" t="s">
        <v>13</v>
      </c>
      <c r="C26" s="50">
        <v>51</v>
      </c>
      <c r="D26" s="51" t="s">
        <v>41</v>
      </c>
      <c r="E26" s="96" t="s">
        <v>57</v>
      </c>
      <c r="F26" s="53">
        <f>26.31*50/50+10.74*50/50</f>
        <v>37.049999999999997</v>
      </c>
      <c r="G26" s="8">
        <v>104.44</v>
      </c>
      <c r="H26" s="8">
        <v>9.6300000000000008</v>
      </c>
      <c r="I26" s="8">
        <v>4.97</v>
      </c>
      <c r="J26" s="9">
        <v>5.19</v>
      </c>
    </row>
    <row r="27" spans="1:10" ht="15.6" x14ac:dyDescent="0.3">
      <c r="A27" s="6"/>
      <c r="B27" s="26" t="s">
        <v>37</v>
      </c>
      <c r="C27" s="50">
        <v>20</v>
      </c>
      <c r="D27" s="51" t="s">
        <v>42</v>
      </c>
      <c r="E27" s="52">
        <v>200</v>
      </c>
      <c r="F27" s="53">
        <v>2.81</v>
      </c>
      <c r="G27" s="8">
        <v>51.49</v>
      </c>
      <c r="H27" s="8">
        <v>0.92</v>
      </c>
      <c r="I27" s="8">
        <v>0.69</v>
      </c>
      <c r="J27" s="9">
        <v>10.41</v>
      </c>
    </row>
    <row r="28" spans="1:10" ht="15.6" x14ac:dyDescent="0.3">
      <c r="A28" s="6"/>
      <c r="B28" s="7" t="s">
        <v>15</v>
      </c>
      <c r="C28" s="50" t="s">
        <v>18</v>
      </c>
      <c r="D28" s="51" t="s">
        <v>19</v>
      </c>
      <c r="E28" s="52">
        <v>32</v>
      </c>
      <c r="F28" s="53">
        <f>43.64*0.032</f>
        <v>1.3964799999999999</v>
      </c>
      <c r="G28" s="8">
        <f>63*32/30</f>
        <v>67.2</v>
      </c>
      <c r="H28" s="8">
        <f>1.47*32/30</f>
        <v>1.5680000000000001</v>
      </c>
      <c r="I28" s="8">
        <f>0.3*32/30</f>
        <v>0.32</v>
      </c>
      <c r="J28" s="9">
        <f>13.44*32/30</f>
        <v>14.336</v>
      </c>
    </row>
    <row r="29" spans="1:10" ht="15.6" x14ac:dyDescent="0.3">
      <c r="A29" s="6"/>
      <c r="B29" s="7" t="s">
        <v>14</v>
      </c>
      <c r="C29" s="54" t="s">
        <v>18</v>
      </c>
      <c r="D29" s="51" t="s">
        <v>22</v>
      </c>
      <c r="E29" s="52">
        <v>33</v>
      </c>
      <c r="F29" s="53">
        <v>1.18</v>
      </c>
      <c r="G29" s="8">
        <f>70.5*33/30</f>
        <v>77.55</v>
      </c>
      <c r="H29" s="8">
        <f>2.28*33/30</f>
        <v>2.508</v>
      </c>
      <c r="I29" s="8">
        <f>0.24*33/30</f>
        <v>0.26400000000000001</v>
      </c>
      <c r="J29" s="9">
        <f>14.76*33/30</f>
        <v>16.236000000000001</v>
      </c>
    </row>
    <row r="30" spans="1:10" ht="16.2" thickBot="1" x14ac:dyDescent="0.35">
      <c r="A30" s="37"/>
      <c r="B30" s="38"/>
      <c r="C30" s="55"/>
      <c r="D30" s="56"/>
      <c r="E30" s="57"/>
      <c r="F30" s="58">
        <f>SUM(F24:F29)</f>
        <v>68.052480000000003</v>
      </c>
      <c r="G30" s="39">
        <f>SUM(G24:G29)</f>
        <v>639.67999999999995</v>
      </c>
      <c r="H30" s="39">
        <f>SUM(H24:H29)</f>
        <v>23.976000000000003</v>
      </c>
      <c r="I30" s="39">
        <f>SUM(I24:I29)</f>
        <v>14.703999999999999</v>
      </c>
      <c r="J30" s="74">
        <f>SUM(J24:J29)</f>
        <v>94.981999999999999</v>
      </c>
    </row>
    <row r="31" spans="1:10" ht="14.4" customHeight="1" x14ac:dyDescent="0.3">
      <c r="A31" s="2" t="s">
        <v>20</v>
      </c>
      <c r="B31" s="3" t="s">
        <v>37</v>
      </c>
      <c r="C31" s="59">
        <v>57</v>
      </c>
      <c r="D31" s="60" t="s">
        <v>38</v>
      </c>
      <c r="E31" s="61">
        <v>200</v>
      </c>
      <c r="F31" s="45">
        <v>1.29</v>
      </c>
      <c r="G31" s="4">
        <v>41</v>
      </c>
      <c r="H31" s="4">
        <v>0</v>
      </c>
      <c r="I31" s="4">
        <v>0</v>
      </c>
      <c r="J31" s="5">
        <v>10.01</v>
      </c>
    </row>
    <row r="32" spans="1:10" ht="15.6" x14ac:dyDescent="0.3">
      <c r="A32" s="6"/>
      <c r="B32" s="10" t="s">
        <v>31</v>
      </c>
      <c r="C32" s="62" t="s">
        <v>18</v>
      </c>
      <c r="D32" s="63" t="s">
        <v>39</v>
      </c>
      <c r="E32" s="64" t="s">
        <v>50</v>
      </c>
      <c r="F32" s="53">
        <f>0.156*180</f>
        <v>28.08</v>
      </c>
      <c r="G32" s="8">
        <v>96</v>
      </c>
      <c r="H32" s="8">
        <v>1.5</v>
      </c>
      <c r="I32" s="8">
        <v>0.5</v>
      </c>
      <c r="J32" s="9">
        <v>21</v>
      </c>
    </row>
    <row r="33" spans="1:10" ht="15.6" x14ac:dyDescent="0.3">
      <c r="A33" s="6"/>
      <c r="B33" s="73" t="s">
        <v>31</v>
      </c>
      <c r="C33" s="69">
        <v>44</v>
      </c>
      <c r="D33" s="70" t="s">
        <v>44</v>
      </c>
      <c r="E33" s="71" t="s">
        <v>51</v>
      </c>
      <c r="F33" s="72">
        <f>17.84*65/50</f>
        <v>23.191999999999997</v>
      </c>
      <c r="G33" s="11">
        <v>171</v>
      </c>
      <c r="H33" s="11">
        <v>5.0199999999999996</v>
      </c>
      <c r="I33" s="11">
        <v>5.41</v>
      </c>
      <c r="J33" s="12">
        <v>23</v>
      </c>
    </row>
    <row r="34" spans="1:10" ht="16.2" thickBot="1" x14ac:dyDescent="0.35">
      <c r="A34" s="36"/>
      <c r="B34" s="30"/>
      <c r="C34" s="65"/>
      <c r="D34" s="66"/>
      <c r="E34" s="67"/>
      <c r="F34" s="68">
        <v>51.02</v>
      </c>
      <c r="G34" s="40">
        <f>SUM(G31:G33)</f>
        <v>308</v>
      </c>
      <c r="H34" s="40">
        <f>SUM(H31:H33)</f>
        <v>6.52</v>
      </c>
      <c r="I34" s="40">
        <f>SUM(I31:I33)</f>
        <v>5.91</v>
      </c>
      <c r="J34" s="41">
        <f>SUM(J31:J33)</f>
        <v>54.01</v>
      </c>
    </row>
    <row r="35" spans="1:10" ht="15.6" x14ac:dyDescent="0.3">
      <c r="A35" s="2" t="s">
        <v>10</v>
      </c>
      <c r="B35" s="3" t="s">
        <v>11</v>
      </c>
      <c r="C35" s="59">
        <v>1</v>
      </c>
      <c r="D35" s="60" t="s">
        <v>45</v>
      </c>
      <c r="E35" s="44" t="s">
        <v>58</v>
      </c>
      <c r="F35" s="45">
        <f>20.52*75/100</f>
        <v>15.39</v>
      </c>
      <c r="G35" s="4">
        <f>24*75/60</f>
        <v>30</v>
      </c>
      <c r="H35" s="4">
        <f>1.86*75/60</f>
        <v>2.3250000000000002</v>
      </c>
      <c r="I35" s="4">
        <f>0.12*75/60</f>
        <v>0.15</v>
      </c>
      <c r="J35" s="5">
        <f>3.9*75/60</f>
        <v>4.875</v>
      </c>
    </row>
    <row r="36" spans="1:10" ht="28.8" x14ac:dyDescent="0.3">
      <c r="A36" s="6"/>
      <c r="B36" s="7" t="s">
        <v>12</v>
      </c>
      <c r="C36" s="62">
        <v>10</v>
      </c>
      <c r="D36" s="63" t="s">
        <v>48</v>
      </c>
      <c r="E36" s="64" t="s">
        <v>54</v>
      </c>
      <c r="F36" s="53">
        <f>12.68*245/245+1.84+7.37*0.5</f>
        <v>18.204999999999998</v>
      </c>
      <c r="G36" s="8">
        <v>118</v>
      </c>
      <c r="H36" s="8">
        <v>2.2200000000000002</v>
      </c>
      <c r="I36" s="8">
        <v>4.83</v>
      </c>
      <c r="J36" s="9">
        <v>11.84</v>
      </c>
    </row>
    <row r="37" spans="1:10" ht="15.6" x14ac:dyDescent="0.3">
      <c r="A37" s="6"/>
      <c r="B37" s="7" t="s">
        <v>13</v>
      </c>
      <c r="C37" s="62">
        <v>23</v>
      </c>
      <c r="D37" s="63" t="s">
        <v>46</v>
      </c>
      <c r="E37" s="64" t="s">
        <v>62</v>
      </c>
      <c r="F37" s="53">
        <f>50.38*50/60+12.24*230/185</f>
        <v>57.200630630630634</v>
      </c>
      <c r="G37" s="8">
        <v>438.67</v>
      </c>
      <c r="H37" s="8">
        <v>11.18</v>
      </c>
      <c r="I37" s="8">
        <v>14.68</v>
      </c>
      <c r="J37" s="9">
        <v>65.36</v>
      </c>
    </row>
    <row r="38" spans="1:10" ht="15.6" x14ac:dyDescent="0.3">
      <c r="A38" s="6"/>
      <c r="B38" s="7" t="s">
        <v>21</v>
      </c>
      <c r="C38" s="62">
        <v>35</v>
      </c>
      <c r="D38" s="63" t="s">
        <v>47</v>
      </c>
      <c r="E38" s="64" t="s">
        <v>34</v>
      </c>
      <c r="F38" s="53">
        <v>7.89</v>
      </c>
      <c r="G38" s="8">
        <v>97</v>
      </c>
      <c r="H38" s="8">
        <v>0.68</v>
      </c>
      <c r="I38" s="8">
        <v>0.28000000000000003</v>
      </c>
      <c r="J38" s="9">
        <v>19.64</v>
      </c>
    </row>
    <row r="39" spans="1:10" ht="15.6" x14ac:dyDescent="0.3">
      <c r="A39" s="6"/>
      <c r="B39" s="7" t="s">
        <v>15</v>
      </c>
      <c r="C39" s="62" t="s">
        <v>18</v>
      </c>
      <c r="D39" s="63" t="s">
        <v>19</v>
      </c>
      <c r="E39" s="64" t="s">
        <v>59</v>
      </c>
      <c r="F39" s="53">
        <f>43.64*0.042</f>
        <v>1.8328800000000001</v>
      </c>
      <c r="G39" s="8">
        <v>84</v>
      </c>
      <c r="H39" s="8">
        <v>1.96</v>
      </c>
      <c r="I39" s="8">
        <v>0.4</v>
      </c>
      <c r="J39" s="9">
        <v>17.920000000000002</v>
      </c>
    </row>
    <row r="40" spans="1:10" ht="15.6" x14ac:dyDescent="0.3">
      <c r="A40" s="6"/>
      <c r="B40" s="14" t="s">
        <v>14</v>
      </c>
      <c r="C40" s="69" t="s">
        <v>18</v>
      </c>
      <c r="D40" s="70" t="s">
        <v>22</v>
      </c>
      <c r="E40" s="64" t="s">
        <v>60</v>
      </c>
      <c r="F40" s="53">
        <v>1.54</v>
      </c>
      <c r="G40" s="8">
        <v>94</v>
      </c>
      <c r="H40" s="8">
        <v>3.04</v>
      </c>
      <c r="I40" s="8">
        <v>0.32</v>
      </c>
      <c r="J40" s="9">
        <v>19.68</v>
      </c>
    </row>
    <row r="41" spans="1:10" s="19" customFormat="1" ht="16.2" thickBot="1" x14ac:dyDescent="0.35">
      <c r="A41" s="29"/>
      <c r="B41" s="30"/>
      <c r="C41" s="31"/>
      <c r="D41" s="31"/>
      <c r="E41" s="35"/>
      <c r="F41" s="42">
        <f>SUM(F35:F40)</f>
        <v>102.05851063063064</v>
      </c>
      <c r="G41" s="32">
        <f>SUM(G35:G40)</f>
        <v>861.67000000000007</v>
      </c>
      <c r="H41" s="32">
        <f>SUM(H35:H40)</f>
        <v>21.405000000000001</v>
      </c>
      <c r="I41" s="32">
        <f>SUM(I35:I40)</f>
        <v>20.66</v>
      </c>
      <c r="J41" s="33">
        <f>SUM(J35:J40)</f>
        <v>139.315</v>
      </c>
    </row>
    <row r="42" spans="1:10" x14ac:dyDescent="0.3">
      <c r="A42" s="18" t="s">
        <v>27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95" orientation="portrait" r:id="rId1"/>
  <ignoredErrors>
    <ignoredError sqref="F30:G30 F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8" style="19" customWidth="1"/>
    <col min="2" max="2" width="12.6640625" style="19" customWidth="1"/>
    <col min="3" max="3" width="7.109375" style="19" bestFit="1" customWidth="1"/>
    <col min="4" max="4" width="23.6640625" style="19" customWidth="1"/>
    <col min="5" max="5" width="9.21875" style="20" customWidth="1"/>
    <col min="6" max="6" width="7.44140625" style="20" customWidth="1"/>
    <col min="7" max="7" width="7.109375" style="19" customWidth="1"/>
    <col min="8" max="8" width="6.109375" style="19" bestFit="1" customWidth="1"/>
    <col min="9" max="9" width="6.6640625" style="19" customWidth="1"/>
    <col min="10" max="10" width="7.5546875" style="19" customWidth="1"/>
    <col min="11" max="16384" width="8.88671875" style="19"/>
  </cols>
  <sheetData>
    <row r="1" spans="1:10" ht="28.8" customHeight="1" x14ac:dyDescent="0.3">
      <c r="A1" s="19" t="s">
        <v>0</v>
      </c>
      <c r="B1" s="103" t="s">
        <v>64</v>
      </c>
      <c r="C1" s="104"/>
      <c r="D1" s="105"/>
      <c r="E1" s="20" t="s">
        <v>24</v>
      </c>
      <c r="F1" s="21"/>
      <c r="G1" s="110" t="s">
        <v>65</v>
      </c>
      <c r="H1" s="109"/>
      <c r="I1" s="108">
        <v>45209</v>
      </c>
      <c r="J1" s="108"/>
    </row>
    <row r="2" spans="1:10" ht="15" thickBot="1" x14ac:dyDescent="0.35">
      <c r="B2" s="22" t="s">
        <v>28</v>
      </c>
    </row>
    <row r="3" spans="1:10" s="23" customFormat="1" ht="43.8" thickBot="1" x14ac:dyDescent="0.35">
      <c r="A3" s="76" t="s">
        <v>1</v>
      </c>
      <c r="B3" s="77" t="s">
        <v>2</v>
      </c>
      <c r="C3" s="77" t="s">
        <v>16</v>
      </c>
      <c r="D3" s="77" t="s">
        <v>3</v>
      </c>
      <c r="E3" s="78" t="s">
        <v>17</v>
      </c>
      <c r="F3" s="78" t="s">
        <v>4</v>
      </c>
      <c r="G3" s="79" t="s">
        <v>5</v>
      </c>
      <c r="H3" s="77" t="s">
        <v>6</v>
      </c>
      <c r="I3" s="77" t="s">
        <v>7</v>
      </c>
      <c r="J3" s="80" t="s">
        <v>8</v>
      </c>
    </row>
    <row r="4" spans="1:10" s="23" customFormat="1" ht="19.2" customHeight="1" x14ac:dyDescent="0.3">
      <c r="A4" s="106"/>
      <c r="B4" s="90" t="s">
        <v>31</v>
      </c>
      <c r="C4" s="46" t="s">
        <v>18</v>
      </c>
      <c r="D4" s="47" t="s">
        <v>33</v>
      </c>
      <c r="E4" s="48" t="s">
        <v>61</v>
      </c>
      <c r="F4" s="49">
        <f>152.4*0.02*1.33</f>
        <v>4.0538400000000001</v>
      </c>
      <c r="G4" s="13">
        <v>44.1</v>
      </c>
      <c r="H4" s="13">
        <v>2.46</v>
      </c>
      <c r="I4" s="13">
        <v>0.94</v>
      </c>
      <c r="J4" s="28">
        <v>6.38</v>
      </c>
    </row>
    <row r="5" spans="1:10" ht="16.2" customHeight="1" x14ac:dyDescent="0.3">
      <c r="A5" s="107"/>
      <c r="B5" s="26" t="s">
        <v>29</v>
      </c>
      <c r="C5" s="46">
        <v>41</v>
      </c>
      <c r="D5" s="47" t="s">
        <v>40</v>
      </c>
      <c r="E5" s="48" t="s">
        <v>36</v>
      </c>
      <c r="F5" s="49">
        <f>22.06*160/150</f>
        <v>23.530666666666665</v>
      </c>
      <c r="G5" s="13">
        <f>209*160/150</f>
        <v>222.93333333333334</v>
      </c>
      <c r="H5" s="13">
        <f>3.69*160/150</f>
        <v>3.9359999999999999</v>
      </c>
      <c r="I5" s="13">
        <f>5.48*160/150</f>
        <v>5.8453333333333335</v>
      </c>
      <c r="J5" s="28">
        <f>30.04*160/150</f>
        <v>32.042666666666662</v>
      </c>
    </row>
    <row r="6" spans="1:10" ht="28.8" x14ac:dyDescent="0.3">
      <c r="A6" s="43"/>
      <c r="B6" s="75" t="s">
        <v>13</v>
      </c>
      <c r="C6" s="50">
        <v>51</v>
      </c>
      <c r="D6" s="51" t="s">
        <v>41</v>
      </c>
      <c r="E6" s="96" t="s">
        <v>30</v>
      </c>
      <c r="F6" s="53">
        <f>31.66*45/45+12.24*45/45</f>
        <v>43.9</v>
      </c>
      <c r="G6" s="8">
        <v>94</v>
      </c>
      <c r="H6" s="8">
        <v>8.67</v>
      </c>
      <c r="I6" s="8">
        <v>4.47</v>
      </c>
      <c r="J6" s="9">
        <v>4.67</v>
      </c>
    </row>
    <row r="7" spans="1:10" ht="15.6" x14ac:dyDescent="0.3">
      <c r="A7" s="43"/>
      <c r="B7" s="26" t="s">
        <v>37</v>
      </c>
      <c r="C7" s="50">
        <v>20</v>
      </c>
      <c r="D7" s="51" t="s">
        <v>42</v>
      </c>
      <c r="E7" s="52">
        <v>200</v>
      </c>
      <c r="F7" s="53">
        <v>3.74</v>
      </c>
      <c r="G7" s="8">
        <v>51.49</v>
      </c>
      <c r="H7" s="8">
        <v>0.92</v>
      </c>
      <c r="I7" s="8">
        <v>0.69</v>
      </c>
      <c r="J7" s="9">
        <v>10.41</v>
      </c>
    </row>
    <row r="8" spans="1:10" ht="15.6" x14ac:dyDescent="0.3">
      <c r="A8" s="43"/>
      <c r="B8" s="7" t="s">
        <v>15</v>
      </c>
      <c r="C8" s="50" t="s">
        <v>18</v>
      </c>
      <c r="D8" s="51" t="s">
        <v>19</v>
      </c>
      <c r="E8" s="52">
        <v>29</v>
      </c>
      <c r="F8" s="53">
        <v>1.51</v>
      </c>
      <c r="G8" s="8">
        <f>42*29/20</f>
        <v>60.9</v>
      </c>
      <c r="H8" s="8">
        <f>0.98*29/20</f>
        <v>1.4209999999999998</v>
      </c>
      <c r="I8" s="8">
        <f>0.2*29/20</f>
        <v>0.29000000000000004</v>
      </c>
      <c r="J8" s="9">
        <f>8.96*29/20</f>
        <v>12.992000000000001</v>
      </c>
    </row>
    <row r="9" spans="1:10" ht="15.6" x14ac:dyDescent="0.3">
      <c r="A9" s="97"/>
      <c r="B9" s="7" t="s">
        <v>14</v>
      </c>
      <c r="C9" s="54" t="s">
        <v>18</v>
      </c>
      <c r="D9" s="51" t="s">
        <v>22</v>
      </c>
      <c r="E9" s="52">
        <v>29</v>
      </c>
      <c r="F9" s="53">
        <f>43.63*0.029</f>
        <v>1.2652700000000001</v>
      </c>
      <c r="G9" s="8">
        <f>47*29/20</f>
        <v>68.150000000000006</v>
      </c>
      <c r="H9" s="8">
        <f>1.52*29/20</f>
        <v>2.2039999999999997</v>
      </c>
      <c r="I9" s="8">
        <f>0.16*29/20</f>
        <v>0.23199999999999998</v>
      </c>
      <c r="J9" s="9">
        <f>9.84*29/20</f>
        <v>14.268000000000001</v>
      </c>
    </row>
    <row r="10" spans="1:10" ht="16.2" thickBot="1" x14ac:dyDescent="0.35">
      <c r="A10" s="29"/>
      <c r="B10" s="81"/>
      <c r="C10" s="82"/>
      <c r="D10" s="83"/>
      <c r="E10" s="84"/>
      <c r="F10" s="89">
        <f>SUM(F4:F9)</f>
        <v>77.999776666666662</v>
      </c>
      <c r="G10" s="40">
        <f>SUM(G4:G9)</f>
        <v>541.57333333333338</v>
      </c>
      <c r="H10" s="40">
        <f>SUM(H4:H9)</f>
        <v>19.611000000000001</v>
      </c>
      <c r="I10" s="40">
        <f>SUM(I4:I9)</f>
        <v>12.467333333333332</v>
      </c>
      <c r="J10" s="41">
        <f>SUM(J4:J9)</f>
        <v>80.762666666666675</v>
      </c>
    </row>
    <row r="11" spans="1:10" ht="15.6" x14ac:dyDescent="0.3">
      <c r="A11" s="25"/>
      <c r="B11" s="3" t="s">
        <v>11</v>
      </c>
      <c r="C11" s="59">
        <v>1</v>
      </c>
      <c r="D11" s="60" t="s">
        <v>45</v>
      </c>
      <c r="E11" s="44" t="s">
        <v>63</v>
      </c>
      <c r="F11" s="45">
        <f>16.37*100/60</f>
        <v>27.283333333333335</v>
      </c>
      <c r="G11" s="4">
        <f>24*65/60</f>
        <v>26</v>
      </c>
      <c r="H11" s="4">
        <f>1.86*65/60</f>
        <v>2.0150000000000001</v>
      </c>
      <c r="I11" s="4">
        <f>0.12*65/60</f>
        <v>0.13</v>
      </c>
      <c r="J11" s="5">
        <f>3.9*65/60</f>
        <v>4.2249999999999996</v>
      </c>
    </row>
    <row r="12" spans="1:10" ht="15.6" x14ac:dyDescent="0.3">
      <c r="A12" s="25"/>
      <c r="B12" s="7" t="s">
        <v>13</v>
      </c>
      <c r="C12" s="62">
        <v>23</v>
      </c>
      <c r="D12" s="63" t="s">
        <v>46</v>
      </c>
      <c r="E12" s="64" t="s">
        <v>49</v>
      </c>
      <c r="F12" s="53">
        <f>57.01*40/51+13.5*200/189</f>
        <v>58.999439775910368</v>
      </c>
      <c r="G12" s="8">
        <v>376</v>
      </c>
      <c r="H12" s="8">
        <v>9.58</v>
      </c>
      <c r="I12" s="8">
        <v>12.59</v>
      </c>
      <c r="J12" s="9">
        <v>56.03</v>
      </c>
    </row>
    <row r="13" spans="1:10" ht="15.6" x14ac:dyDescent="0.3">
      <c r="A13" s="25"/>
      <c r="B13" s="7" t="s">
        <v>21</v>
      </c>
      <c r="C13" s="62">
        <v>35</v>
      </c>
      <c r="D13" s="63" t="s">
        <v>47</v>
      </c>
      <c r="E13" s="64" t="s">
        <v>34</v>
      </c>
      <c r="F13" s="53">
        <v>10.1</v>
      </c>
      <c r="G13" s="8">
        <v>97</v>
      </c>
      <c r="H13" s="8">
        <v>0.68</v>
      </c>
      <c r="I13" s="8">
        <v>0.28000000000000003</v>
      </c>
      <c r="J13" s="9">
        <v>19.64</v>
      </c>
    </row>
    <row r="14" spans="1:10" ht="15.6" x14ac:dyDescent="0.3">
      <c r="A14" s="25"/>
      <c r="B14" s="7" t="s">
        <v>15</v>
      </c>
      <c r="C14" s="62" t="s">
        <v>18</v>
      </c>
      <c r="D14" s="63" t="s">
        <v>19</v>
      </c>
      <c r="E14" s="52">
        <v>38</v>
      </c>
      <c r="F14" s="53">
        <v>1.96</v>
      </c>
      <c r="G14" s="8">
        <f>42*38/20</f>
        <v>79.8</v>
      </c>
      <c r="H14" s="8">
        <f>0.98*38/20</f>
        <v>1.8620000000000001</v>
      </c>
      <c r="I14" s="8">
        <f>0.2*38/20</f>
        <v>0.38</v>
      </c>
      <c r="J14" s="9">
        <f>8.96*38/20</f>
        <v>17.024000000000001</v>
      </c>
    </row>
    <row r="15" spans="1:10" ht="15.6" x14ac:dyDescent="0.3">
      <c r="A15" s="25"/>
      <c r="B15" s="14" t="s">
        <v>14</v>
      </c>
      <c r="C15" s="69" t="s">
        <v>18</v>
      </c>
      <c r="D15" s="70" t="s">
        <v>22</v>
      </c>
      <c r="E15" s="52">
        <v>38</v>
      </c>
      <c r="F15" s="53">
        <f>43.63*0.038</f>
        <v>1.65794</v>
      </c>
      <c r="G15" s="8">
        <f>47*38/20</f>
        <v>89.3</v>
      </c>
      <c r="H15" s="8">
        <f>1.52*38/20</f>
        <v>2.8879999999999999</v>
      </c>
      <c r="I15" s="8">
        <f>0.16*38/20</f>
        <v>0.30399999999999999</v>
      </c>
      <c r="J15" s="9">
        <f>9.84*38/20</f>
        <v>18.696000000000002</v>
      </c>
    </row>
    <row r="16" spans="1:10" ht="16.2" thickBot="1" x14ac:dyDescent="0.35">
      <c r="A16" s="27"/>
      <c r="B16" s="85"/>
      <c r="C16" s="86"/>
      <c r="D16" s="86"/>
      <c r="E16" s="87"/>
      <c r="F16" s="88">
        <f>SUM(F11:F15)</f>
        <v>100.00071310924369</v>
      </c>
      <c r="G16" s="98">
        <f>SUM(G11:G15)</f>
        <v>668.09999999999991</v>
      </c>
      <c r="H16" s="98">
        <f>SUM(H11:H15)</f>
        <v>17.024999999999999</v>
      </c>
      <c r="I16" s="98">
        <f>SUM(I11:I15)</f>
        <v>13.684000000000001</v>
      </c>
      <c r="J16" s="99">
        <f>SUM(J11:J15)</f>
        <v>115.61500000000001</v>
      </c>
    </row>
    <row r="17" spans="1:10" ht="15.6" x14ac:dyDescent="0.3">
      <c r="A17" s="24"/>
      <c r="B17" s="3" t="s">
        <v>11</v>
      </c>
      <c r="C17" s="59">
        <v>1</v>
      </c>
      <c r="D17" s="60" t="s">
        <v>45</v>
      </c>
      <c r="E17" s="44" t="s">
        <v>63</v>
      </c>
      <c r="F17" s="45">
        <f>16.37*100/60</f>
        <v>27.283333333333335</v>
      </c>
      <c r="G17" s="4">
        <f>24*100/60</f>
        <v>40</v>
      </c>
      <c r="H17" s="4">
        <f>1.86*100/60</f>
        <v>3.1</v>
      </c>
      <c r="I17" s="4">
        <f>0.12*100/60</f>
        <v>0.2</v>
      </c>
      <c r="J17" s="5">
        <f>3.9*100/60</f>
        <v>6.5</v>
      </c>
    </row>
    <row r="18" spans="1:10" ht="28.8" x14ac:dyDescent="0.3">
      <c r="A18" s="25"/>
      <c r="B18" s="7" t="s">
        <v>12</v>
      </c>
      <c r="C18" s="62">
        <v>10</v>
      </c>
      <c r="D18" s="63" t="s">
        <v>48</v>
      </c>
      <c r="E18" s="64" t="s">
        <v>52</v>
      </c>
      <c r="F18" s="53">
        <f>16.73*235/245+2.45+9.8</f>
        <v>28.297142857142859</v>
      </c>
      <c r="G18" s="8">
        <v>118</v>
      </c>
      <c r="H18" s="8">
        <v>2.2200000000000002</v>
      </c>
      <c r="I18" s="8">
        <v>4.83</v>
      </c>
      <c r="J18" s="9">
        <v>11.84</v>
      </c>
    </row>
    <row r="19" spans="1:10" ht="15.6" x14ac:dyDescent="0.3">
      <c r="A19" s="25"/>
      <c r="B19" s="7" t="s">
        <v>13</v>
      </c>
      <c r="C19" s="62">
        <v>23</v>
      </c>
      <c r="D19" s="63" t="s">
        <v>46</v>
      </c>
      <c r="E19" s="64" t="s">
        <v>49</v>
      </c>
      <c r="F19" s="53">
        <f>57.01*40/51+13.5*200/189</f>
        <v>58.999439775910368</v>
      </c>
      <c r="G19" s="8">
        <v>376</v>
      </c>
      <c r="H19" s="8">
        <v>9.58</v>
      </c>
      <c r="I19" s="8">
        <v>12.59</v>
      </c>
      <c r="J19" s="9">
        <v>56.03</v>
      </c>
    </row>
    <row r="20" spans="1:10" ht="15.6" x14ac:dyDescent="0.3">
      <c r="A20" s="25"/>
      <c r="B20" s="7" t="s">
        <v>21</v>
      </c>
      <c r="C20" s="62">
        <v>35</v>
      </c>
      <c r="D20" s="63" t="s">
        <v>47</v>
      </c>
      <c r="E20" s="64" t="s">
        <v>34</v>
      </c>
      <c r="F20" s="53">
        <v>10.1</v>
      </c>
      <c r="G20" s="8">
        <v>97</v>
      </c>
      <c r="H20" s="8">
        <v>0.68</v>
      </c>
      <c r="I20" s="8">
        <v>0.28000000000000003</v>
      </c>
      <c r="J20" s="9">
        <v>19.64</v>
      </c>
    </row>
    <row r="21" spans="1:10" ht="15.6" x14ac:dyDescent="0.3">
      <c r="A21" s="25"/>
      <c r="B21" s="7" t="s">
        <v>15</v>
      </c>
      <c r="C21" s="62" t="s">
        <v>18</v>
      </c>
      <c r="D21" s="63" t="s">
        <v>19</v>
      </c>
      <c r="E21" s="52">
        <v>20</v>
      </c>
      <c r="F21" s="53">
        <f>52.37*0.02</f>
        <v>1.0473999999999999</v>
      </c>
      <c r="G21" s="8">
        <v>42</v>
      </c>
      <c r="H21" s="8">
        <v>0.98</v>
      </c>
      <c r="I21" s="8">
        <v>0.2</v>
      </c>
      <c r="J21" s="9">
        <v>8.9600000000000009</v>
      </c>
    </row>
    <row r="22" spans="1:10" ht="15.6" x14ac:dyDescent="0.3">
      <c r="A22" s="25"/>
      <c r="B22" s="14" t="s">
        <v>14</v>
      </c>
      <c r="C22" s="69" t="s">
        <v>18</v>
      </c>
      <c r="D22" s="70" t="s">
        <v>22</v>
      </c>
      <c r="E22" s="52">
        <v>20</v>
      </c>
      <c r="F22" s="53">
        <f>43.63*0.02</f>
        <v>0.87260000000000004</v>
      </c>
      <c r="G22" s="8">
        <v>47</v>
      </c>
      <c r="H22" s="8">
        <v>1.52</v>
      </c>
      <c r="I22" s="8">
        <v>0.16</v>
      </c>
      <c r="J22" s="9">
        <v>9.84</v>
      </c>
    </row>
    <row r="23" spans="1:10" ht="16.2" thickBot="1" x14ac:dyDescent="0.35">
      <c r="A23" s="27"/>
      <c r="B23" s="85"/>
      <c r="C23" s="86"/>
      <c r="D23" s="86"/>
      <c r="E23" s="87"/>
      <c r="F23" s="88">
        <v>125</v>
      </c>
      <c r="G23" s="98">
        <f>SUM(G17:G22)</f>
        <v>720</v>
      </c>
      <c r="H23" s="98">
        <f>SUM(H17:H22)</f>
        <v>18.079999999999998</v>
      </c>
      <c r="I23" s="98">
        <f>SUM(I17:I22)</f>
        <v>18.260000000000002</v>
      </c>
      <c r="J23" s="99">
        <f>SUM(J17:J22)</f>
        <v>112.81</v>
      </c>
    </row>
    <row r="24" spans="1:10" customFormat="1" x14ac:dyDescent="0.3">
      <c r="E24" s="16"/>
      <c r="F24" s="16"/>
    </row>
    <row r="25" spans="1:10" customFormat="1" x14ac:dyDescent="0.3">
      <c r="A25" s="18" t="s">
        <v>26</v>
      </c>
      <c r="E25" s="16"/>
      <c r="F25" s="16"/>
    </row>
    <row r="26" spans="1:10" customFormat="1" x14ac:dyDescent="0.3">
      <c r="E26" s="16"/>
      <c r="F26" s="16"/>
    </row>
    <row r="27" spans="1:10" customFormat="1" x14ac:dyDescent="0.3">
      <c r="A27" s="18" t="s">
        <v>27</v>
      </c>
      <c r="E27" s="16"/>
      <c r="F27" s="16"/>
    </row>
    <row r="28" spans="1:10" customFormat="1" x14ac:dyDescent="0.3">
      <c r="E28" s="16"/>
      <c r="F28" s="16"/>
    </row>
  </sheetData>
  <mergeCells count="4">
    <mergeCell ref="B1:D1"/>
    <mergeCell ref="A4:A5"/>
    <mergeCell ref="I1:J1"/>
    <mergeCell ref="G1:H1"/>
  </mergeCells>
  <pageMargins left="0.11811023622047245" right="0.11811023622047245" top="0.15748031496062992" bottom="0.15748031496062992" header="0.11811023622047245" footer="0.11811023622047245"/>
  <pageSetup paperSize="9" scale="96" orientation="portrait" r:id="rId1"/>
  <ignoredErrors>
    <ignoredError sqref="J10 F17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2022-09-07T09:38:40Z</cp:lastPrinted>
  <dcterms:created xsi:type="dcterms:W3CDTF">2015-06-05T18:19:34Z</dcterms:created>
  <dcterms:modified xsi:type="dcterms:W3CDTF">2023-10-09T05:17:28Z</dcterms:modified>
</cp:coreProperties>
</file>