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Зеледеево\"/>
    </mc:Choice>
  </mc:AlternateContent>
  <xr:revisionPtr revIDLastSave="0" documentId="13_ncr:1_{3DE049F8-19FE-45BB-98EF-35EBC5504E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есплатно" sheetId="1" r:id="rId1"/>
    <sheet name="платно" sheetId="2" r:id="rId2"/>
  </sheets>
  <calcPr calcId="191029"/>
</workbook>
</file>

<file path=xl/calcChain.xml><?xml version="1.0" encoding="utf-8"?>
<calcChain xmlns="http://schemas.openxmlformats.org/spreadsheetml/2006/main">
  <c r="F22" i="2" l="1"/>
  <c r="F21" i="2"/>
  <c r="F19" i="2"/>
  <c r="F18" i="2"/>
  <c r="F17" i="2"/>
  <c r="F12" i="2"/>
  <c r="F15" i="2"/>
  <c r="F11" i="2"/>
  <c r="F9" i="2"/>
  <c r="F8" i="2"/>
  <c r="F6" i="2"/>
  <c r="F5" i="2"/>
  <c r="F4" i="2"/>
  <c r="F36" i="1"/>
  <c r="F37" i="1"/>
  <c r="F22" i="1"/>
  <c r="F21" i="1"/>
  <c r="F43" i="1"/>
  <c r="F44" i="1"/>
  <c r="F41" i="1"/>
  <c r="F39" i="1"/>
  <c r="F40" i="1"/>
  <c r="F23" i="1"/>
  <c r="F12" i="1"/>
  <c r="F15" i="1"/>
  <c r="F27" i="1"/>
  <c r="F31" i="1"/>
  <c r="F28" i="1"/>
  <c r="F26" i="1"/>
  <c r="F9" i="1"/>
  <c r="F8" i="1"/>
  <c r="F4" i="1"/>
  <c r="F5" i="1"/>
  <c r="J22" i="1"/>
  <c r="I22" i="1"/>
  <c r="H22" i="1"/>
  <c r="G22" i="1"/>
  <c r="J21" i="1"/>
  <c r="I21" i="1"/>
  <c r="H21" i="1"/>
  <c r="G21" i="1"/>
  <c r="F19" i="1"/>
  <c r="F18" i="1"/>
  <c r="F17" i="1"/>
  <c r="F13" i="1"/>
  <c r="J4" i="1"/>
  <c r="I4" i="1"/>
  <c r="H4" i="1"/>
  <c r="G4" i="1"/>
  <c r="F6" i="1"/>
  <c r="J22" i="2"/>
  <c r="I22" i="2"/>
  <c r="H15" i="2"/>
  <c r="H22" i="2"/>
  <c r="H23" i="2" s="1"/>
  <c r="G22" i="2"/>
  <c r="J21" i="2"/>
  <c r="I21" i="2"/>
  <c r="H21" i="2"/>
  <c r="G21" i="2"/>
  <c r="J15" i="2"/>
  <c r="I15" i="2"/>
  <c r="G15" i="2"/>
  <c r="J14" i="2"/>
  <c r="I14" i="2"/>
  <c r="H14" i="2"/>
  <c r="G14" i="2"/>
  <c r="F10" i="1" l="1"/>
  <c r="J44" i="1"/>
  <c r="I44" i="1"/>
  <c r="H44" i="1"/>
  <c r="G44" i="1"/>
  <c r="J43" i="1"/>
  <c r="I43" i="1"/>
  <c r="H43" i="1"/>
  <c r="G43" i="1"/>
  <c r="F34" i="1"/>
  <c r="J31" i="1"/>
  <c r="I31" i="1"/>
  <c r="H31" i="1"/>
  <c r="G31" i="1"/>
  <c r="J26" i="1"/>
  <c r="I26" i="1"/>
  <c r="H26" i="1"/>
  <c r="G26" i="1"/>
  <c r="J28" i="1"/>
  <c r="I28" i="1"/>
  <c r="H28" i="1"/>
  <c r="G28" i="1"/>
  <c r="G38" i="1"/>
  <c r="H38" i="1"/>
  <c r="I38" i="1"/>
  <c r="J38" i="1"/>
  <c r="J16" i="1"/>
  <c r="I16" i="1"/>
  <c r="H16" i="1"/>
  <c r="G16" i="1"/>
  <c r="F10" i="2" l="1"/>
  <c r="F32" i="1"/>
  <c r="F23" i="2"/>
  <c r="F16" i="2"/>
  <c r="I10" i="1"/>
  <c r="H10" i="1"/>
  <c r="G10" i="1"/>
  <c r="G10" i="2" l="1"/>
  <c r="J45" i="1" l="1"/>
  <c r="I45" i="1"/>
  <c r="H45" i="1"/>
  <c r="G45" i="1"/>
  <c r="J32" i="1"/>
  <c r="I32" i="1"/>
  <c r="H32" i="1"/>
  <c r="G32" i="1"/>
  <c r="G23" i="1"/>
  <c r="J10" i="1"/>
  <c r="G23" i="2"/>
  <c r="J23" i="2"/>
  <c r="I23" i="2"/>
  <c r="I16" i="2" l="1"/>
  <c r="J10" i="2"/>
  <c r="H10" i="2"/>
  <c r="H16" i="2" l="1"/>
  <c r="J16" i="2"/>
  <c r="G16" i="2"/>
  <c r="I10" i="2"/>
  <c r="J23" i="1" l="1"/>
  <c r="I23" i="1"/>
  <c r="H23" i="1"/>
</calcChain>
</file>

<file path=xl/sharedStrings.xml><?xml version="1.0" encoding="utf-8"?>
<sst xmlns="http://schemas.openxmlformats.org/spreadsheetml/2006/main" count="205" uniqueCount="66">
  <si>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</si>
  <si>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</si>
  <si>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</si>
  <si>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</si>
  <si>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</si>
  <si>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</si>
  <si>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</si>
  <si>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</si>
  <si>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</si>
  <si>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</si>
  <si>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</si>
  <si>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</si>
  <si>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</si>
  <si>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</si>
  <si>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</si>
  <si>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</si>
  <si>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</si>
  <si>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</si>
  <si>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</si>
  <si>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</si>
  <si>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</si>
  <si>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добавка</t>
  </si>
  <si>
    <t>Полдник</t>
  </si>
  <si>
    <t>напиток</t>
  </si>
  <si>
    <t>Хлеб пшеничный</t>
  </si>
  <si>
    <t>6-10 лет</t>
  </si>
  <si>
    <t>корп</t>
  </si>
  <si>
    <t>11-18 лет</t>
  </si>
  <si>
    <t>Зав.производством _________________________________</t>
  </si>
  <si>
    <t>Бухгалтер калькулятор _______________________________</t>
  </si>
  <si>
    <t>За наличный расчет</t>
  </si>
  <si>
    <t>200</t>
  </si>
  <si>
    <t>Масло сливочное (порциями)</t>
  </si>
  <si>
    <t>Сыр (порциями)</t>
  </si>
  <si>
    <t>60</t>
  </si>
  <si>
    <t>"___"_____2023</t>
  </si>
  <si>
    <t>Компот из смеси сухофруктов</t>
  </si>
  <si>
    <t>гор.блюдо</t>
  </si>
  <si>
    <t>Каша ячневая вязкая</t>
  </si>
  <si>
    <t>Яблоко</t>
  </si>
  <si>
    <t xml:space="preserve">Масло сливочное </t>
  </si>
  <si>
    <t>10</t>
  </si>
  <si>
    <t>Чай с лимоном</t>
  </si>
  <si>
    <t>Чай с молоком сгущенным</t>
  </si>
  <si>
    <t>Маринад овощной с томатом</t>
  </si>
  <si>
    <t>Суп картофельный с бобовыми</t>
  </si>
  <si>
    <t>Жаркое по-домашнему</t>
  </si>
  <si>
    <t>Хлеб</t>
  </si>
  <si>
    <t>100</t>
  </si>
  <si>
    <t>Суп картофельный с бобовыми и мясом</t>
  </si>
  <si>
    <t>230/20</t>
  </si>
  <si>
    <t>245/35</t>
  </si>
  <si>
    <t>Вафли</t>
  </si>
  <si>
    <t>240/10</t>
  </si>
  <si>
    <t>200/40</t>
  </si>
  <si>
    <t>250</t>
  </si>
  <si>
    <t>124</t>
  </si>
  <si>
    <t>240</t>
  </si>
  <si>
    <t>Батон</t>
  </si>
  <si>
    <t>15</t>
  </si>
  <si>
    <t>137</t>
  </si>
  <si>
    <t>40</t>
  </si>
  <si>
    <t>33</t>
  </si>
  <si>
    <t>34</t>
  </si>
  <si>
    <t>День 5</t>
  </si>
  <si>
    <t>МБОУ Зеледеевская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</si>
</sst>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0" fillId="0" borderId="5" xfId="0" applyBorder="1"/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0" fontId="0" fillId="0" borderId="8" xfId="0" applyBorder="1"/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4" fontId="0" fillId="0" borderId="0" xfId="0" applyNumberFormat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14" fontId="3" fillId="0" borderId="0" xfId="0" applyNumberFormat="1" applyFont="1" applyProtection="1">
      <protection locked="0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14" xfId="0" applyFont="1" applyBorder="1"/>
    <xf numFmtId="0" fontId="5" fillId="0" borderId="14" xfId="0" applyFont="1" applyBorder="1" applyAlignment="1">
      <alignment horizontal="center"/>
    </xf>
    <xf numFmtId="2" fontId="3" fillId="0" borderId="14" xfId="0" applyNumberFormat="1" applyFont="1" applyBorder="1"/>
    <xf numFmtId="2" fontId="3" fillId="0" borderId="15" xfId="0" applyNumberFormat="1" applyFont="1" applyBorder="1"/>
    <xf numFmtId="2" fontId="0" fillId="0" borderId="16" xfId="0" applyNumberFormat="1" applyBorder="1" applyProtection="1">
      <protection locked="0"/>
    </xf>
    <xf numFmtId="0" fontId="0" fillId="0" borderId="13" xfId="0" applyBorder="1"/>
    <xf numFmtId="0" fontId="0" fillId="0" borderId="14" xfId="0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2" fontId="0" fillId="0" borderId="15" xfId="0" applyNumberFormat="1" applyBorder="1"/>
    <xf numFmtId="49" fontId="6" fillId="0" borderId="6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 applyProtection="1">
      <alignment horizontal="center"/>
      <protection locked="0"/>
    </xf>
    <xf numFmtId="1" fontId="6" fillId="0" borderId="6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49" fontId="6" fillId="0" borderId="11" xfId="0" applyNumberFormat="1" applyFont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wrapText="1"/>
      <protection locked="0"/>
    </xf>
    <xf numFmtId="1" fontId="6" fillId="0" borderId="14" xfId="0" applyNumberFormat="1" applyFont="1" applyBorder="1" applyAlignment="1" applyProtection="1">
      <alignment horizontal="center"/>
      <protection locked="0"/>
    </xf>
    <xf numFmtId="0" fontId="0" fillId="0" borderId="17" xfId="0" applyBorder="1"/>
    <xf numFmtId="0" fontId="2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wrapText="1"/>
      <protection locked="0"/>
    </xf>
    <xf numFmtId="1" fontId="6" fillId="0" borderId="18" xfId="0" applyNumberFormat="1" applyFont="1" applyBorder="1" applyAlignment="1" applyProtection="1">
      <alignment horizontal="center"/>
      <protection locked="0"/>
    </xf>
    <xf numFmtId="2" fontId="0" fillId="0" borderId="18" xfId="0" applyNumberFormat="1" applyBorder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2" fontId="6" fillId="0" borderId="18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>
      <alignment horizontal="center"/>
    </xf>
    <xf numFmtId="2" fontId="0" fillId="0" borderId="19" xfId="0" applyNumberFormat="1" applyBorder="1" applyProtection="1"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6" fillId="0" borderId="4" xfId="0" applyNumberFormat="1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/>
    <xf numFmtId="0" fontId="6" fillId="0" borderId="0" xfId="0" applyFont="1" applyAlignment="1">
      <alignment horizontal="center"/>
    </xf>
    <xf numFmtId="0" fontId="3" fillId="0" borderId="25" xfId="0" applyFont="1" applyBorder="1"/>
    <xf numFmtId="0" fontId="0" fillId="0" borderId="28" xfId="0" applyBorder="1"/>
    <xf numFmtId="0" fontId="0" fillId="0" borderId="26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3" fillId="0" borderId="26" xfId="0" applyFont="1" applyBorder="1" applyProtection="1">
      <protection locked="0"/>
    </xf>
    <xf numFmtId="0" fontId="2" fillId="0" borderId="29" xfId="0" applyFont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wrapText="1"/>
      <protection locked="0"/>
    </xf>
    <xf numFmtId="1" fontId="6" fillId="0" borderId="29" xfId="0" applyNumberFormat="1" applyFont="1" applyBorder="1" applyAlignment="1" applyProtection="1">
      <alignment horizontal="center"/>
      <protection locked="0"/>
    </xf>
    <xf numFmtId="2" fontId="6" fillId="0" borderId="29" xfId="0" applyNumberFormat="1" applyFont="1" applyBorder="1" applyAlignment="1" applyProtection="1">
      <alignment horizontal="center"/>
      <protection locked="0"/>
    </xf>
    <xf numFmtId="2" fontId="0" fillId="0" borderId="29" xfId="0" applyNumberFormat="1" applyBorder="1" applyProtection="1">
      <protection locked="0"/>
    </xf>
    <xf numFmtId="2" fontId="0" fillId="0" borderId="30" xfId="0" applyNumberFormat="1" applyBorder="1" applyProtection="1">
      <protection locked="0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/>
    <xf numFmtId="0" fontId="3" fillId="0" borderId="3" xfId="0" applyFont="1" applyBorder="1"/>
    <xf numFmtId="0" fontId="3" fillId="0" borderId="3" xfId="0" applyFont="1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 applyProtection="1">
      <protection locked="0"/>
    </xf>
    <xf numFmtId="2" fontId="9" fillId="0" borderId="14" xfId="0" applyNumberFormat="1" applyFont="1" applyBorder="1" applyAlignment="1">
      <alignment horizontal="center"/>
    </xf>
    <xf numFmtId="49" fontId="6" fillId="0" borderId="37" xfId="0" applyNumberFormat="1" applyFont="1" applyBorder="1" applyAlignment="1" applyProtection="1">
      <alignment horizontal="center"/>
      <protection locked="0"/>
    </xf>
    <xf numFmtId="2" fontId="6" fillId="0" borderId="37" xfId="0" applyNumberFormat="1" applyFont="1" applyBorder="1" applyAlignment="1" applyProtection="1">
      <alignment horizontal="center"/>
      <protection locked="0"/>
    </xf>
    <xf numFmtId="0" fontId="0" fillId="0" borderId="38" xfId="0" applyBorder="1"/>
    <xf numFmtId="0" fontId="0" fillId="0" borderId="3" xfId="0" applyBorder="1"/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9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39" xfId="0" applyBorder="1" applyProtection="1">
      <protection locked="0"/>
    </xf>
    <xf numFmtId="0" fontId="8" fillId="0" borderId="14" xfId="0" applyFon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0" fontId="3" fillId="0" borderId="11" xfId="0" applyFont="1" applyBorder="1" applyProtection="1">
      <protection locked="0"/>
    </xf>
    <xf numFmtId="0" fontId="3" fillId="0" borderId="8" xfId="0" applyFont="1" applyBorder="1"/>
    <xf numFmtId="0" fontId="3" fillId="0" borderId="5" xfId="0" applyFont="1" applyBorder="1"/>
    <xf numFmtId="0" fontId="3" fillId="0" borderId="24" xfId="0" applyFont="1" applyBorder="1"/>
    <xf numFmtId="0" fontId="0" fillId="0" borderId="40" xfId="0" applyBorder="1"/>
    <xf numFmtId="0" fontId="2" fillId="0" borderId="37" xfId="0" applyFont="1" applyBorder="1" applyAlignment="1" applyProtection="1">
      <alignment horizontal="center"/>
      <protection locked="0"/>
    </xf>
    <xf numFmtId="0" fontId="2" fillId="0" borderId="37" xfId="0" applyFont="1" applyBorder="1" applyAlignment="1" applyProtection="1">
      <alignment wrapText="1"/>
      <protection locked="0"/>
    </xf>
    <xf numFmtId="2" fontId="0" fillId="0" borderId="37" xfId="0" applyNumberFormat="1" applyBorder="1" applyProtection="1">
      <protection locked="0"/>
    </xf>
    <xf numFmtId="2" fontId="0" fillId="0" borderId="41" xfId="0" applyNumberFormat="1" applyBorder="1" applyProtection="1">
      <protection locked="0"/>
    </xf>
    <xf numFmtId="0" fontId="3" fillId="0" borderId="13" xfId="0" applyFont="1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51"/>
  <sheetViews>
    <sheetView tabSelected="1" zoomScale="110" zoomScaleNormal="110" workbookViewId="0">
      <selection activeCell="B1" sqref="B1:D1"/>
    </sheetView>
  </sheetViews>
  <sheetFormatPr defaultRowHeight="14.4" x14ac:dyDescent="0.3"/>
  <cols>
    <col min="1" max="1" width="11.77734375" bestFit="1" customWidth="1"/>
    <col min="2" max="2" width="11.5546875" customWidth="1"/>
    <col min="3" max="3" width="7.109375" bestFit="1" customWidth="1"/>
    <col min="4" max="4" width="24.6640625" bestFit="1" customWidth="1"/>
    <col min="5" max="5" width="9.6640625" style="13" customWidth="1"/>
    <col min="6" max="6" width="7.5546875" style="13" bestFit="1" customWidth="1"/>
    <col min="7" max="7" width="7.6640625" customWidth="1"/>
    <col min="8" max="8" width="6.77734375" bestFit="1" customWidth="1"/>
    <col min="9" max="9" width="6.5546875" customWidth="1"/>
    <col min="10" max="10" width="8.5546875" customWidth="1"/>
  </cols>
  <sheetData>
    <row r="1" spans="1:10" ht="28.8" customHeight="1" x14ac:dyDescent="0.3">
      <c r="A1" t="s">
        <v>0</v>
      </c>
      <c r="B1" s="128" t="s">
        <v>65</v>
      </c>
      <c r="C1" s="129"/>
      <c r="D1" s="130"/>
      <c r="E1" s="13" t="s">
        <v>26</v>
      </c>
      <c r="F1" s="12"/>
      <c r="H1" t="s">
        <v>64</v>
      </c>
      <c r="I1" s="11" t="s">
        <v>35</v>
      </c>
    </row>
    <row r="2" spans="1:10" ht="15" thickBot="1" x14ac:dyDescent="0.35">
      <c r="B2" s="1" t="s">
        <v>25</v>
      </c>
    </row>
    <row r="3" spans="1:10" s="14" customFormat="1" ht="29.4" thickBot="1" x14ac:dyDescent="0.35">
      <c r="A3" s="75" t="s">
        <v>1</v>
      </c>
      <c r="B3" s="70" t="s">
        <v>2</v>
      </c>
      <c r="C3" s="71" t="s">
        <v>17</v>
      </c>
      <c r="D3" s="71" t="s">
        <v>3</v>
      </c>
      <c r="E3" s="72" t="s">
        <v>18</v>
      </c>
      <c r="F3" s="72" t="s">
        <v>4</v>
      </c>
      <c r="G3" s="73" t="s">
        <v>5</v>
      </c>
      <c r="H3" s="71" t="s">
        <v>6</v>
      </c>
      <c r="I3" s="71" t="s">
        <v>7</v>
      </c>
      <c r="J3" s="74" t="s">
        <v>8</v>
      </c>
    </row>
    <row r="4" spans="1:10" ht="16.2" thickBot="1" x14ac:dyDescent="0.35">
      <c r="A4" s="5" t="s">
        <v>9</v>
      </c>
      <c r="B4" s="78" t="s">
        <v>37</v>
      </c>
      <c r="C4" s="63">
        <v>50</v>
      </c>
      <c r="D4" s="64" t="s">
        <v>38</v>
      </c>
      <c r="E4" s="69" t="s">
        <v>57</v>
      </c>
      <c r="F4" s="68">
        <f>18.1*240/200</f>
        <v>21.72</v>
      </c>
      <c r="G4" s="10">
        <f>308*220/200</f>
        <v>338.8</v>
      </c>
      <c r="H4" s="10">
        <f>8.74*220/200</f>
        <v>9.613999999999999</v>
      </c>
      <c r="I4" s="10">
        <f>7.9*220/200</f>
        <v>8.69</v>
      </c>
      <c r="J4" s="26">
        <f>50.46*220/200</f>
        <v>55.506</v>
      </c>
    </row>
    <row r="5" spans="1:10" ht="15.6" x14ac:dyDescent="0.3">
      <c r="A5" s="101"/>
      <c r="B5" s="97" t="s">
        <v>21</v>
      </c>
      <c r="C5" s="63" t="s">
        <v>19</v>
      </c>
      <c r="D5" s="64" t="s">
        <v>39</v>
      </c>
      <c r="E5" s="35" t="s">
        <v>56</v>
      </c>
      <c r="F5" s="54">
        <f>0.124*165</f>
        <v>20.46</v>
      </c>
      <c r="G5" s="10">
        <v>47</v>
      </c>
      <c r="H5" s="10">
        <v>0.4</v>
      </c>
      <c r="I5" s="10">
        <v>0.4</v>
      </c>
      <c r="J5" s="26">
        <v>9.8000000000000007</v>
      </c>
    </row>
    <row r="6" spans="1:10" ht="15.6" x14ac:dyDescent="0.3">
      <c r="A6" s="102"/>
      <c r="B6" s="97" t="s">
        <v>21</v>
      </c>
      <c r="C6" s="63">
        <v>3</v>
      </c>
      <c r="D6" s="64" t="s">
        <v>40</v>
      </c>
      <c r="E6" s="35" t="s">
        <v>41</v>
      </c>
      <c r="F6" s="54">
        <f>10.8*10/10</f>
        <v>10.8</v>
      </c>
      <c r="G6" s="10">
        <v>65</v>
      </c>
      <c r="H6" s="10">
        <v>0.08</v>
      </c>
      <c r="I6" s="10">
        <v>7.15</v>
      </c>
      <c r="J6" s="26">
        <v>0.13</v>
      </c>
    </row>
    <row r="7" spans="1:10" ht="15.6" x14ac:dyDescent="0.3">
      <c r="A7" s="102"/>
      <c r="B7" s="98" t="s">
        <v>10</v>
      </c>
      <c r="C7" s="38">
        <v>30</v>
      </c>
      <c r="D7" s="39" t="s">
        <v>42</v>
      </c>
      <c r="E7" s="33">
        <v>200</v>
      </c>
      <c r="F7" s="54">
        <v>3.58</v>
      </c>
      <c r="G7" s="6">
        <v>43</v>
      </c>
      <c r="H7" s="6">
        <v>0.06</v>
      </c>
      <c r="I7" s="6">
        <v>0.01</v>
      </c>
      <c r="J7" s="7">
        <v>10.220000000000001</v>
      </c>
    </row>
    <row r="8" spans="1:10" ht="15.6" x14ac:dyDescent="0.3">
      <c r="A8" s="102"/>
      <c r="B8" s="82" t="s">
        <v>15</v>
      </c>
      <c r="C8" s="38" t="s">
        <v>19</v>
      </c>
      <c r="D8" s="39" t="s">
        <v>20</v>
      </c>
      <c r="E8" s="33">
        <v>22</v>
      </c>
      <c r="F8" s="54">
        <f>43.64*0.022</f>
        <v>0.96007999999999993</v>
      </c>
      <c r="G8" s="6">
        <v>42</v>
      </c>
      <c r="H8" s="6">
        <v>0.98</v>
      </c>
      <c r="I8" s="6">
        <v>0.2</v>
      </c>
      <c r="J8" s="7">
        <v>8.9600000000000009</v>
      </c>
    </row>
    <row r="9" spans="1:10" ht="15.6" x14ac:dyDescent="0.3">
      <c r="A9" s="102"/>
      <c r="B9" s="82" t="s">
        <v>16</v>
      </c>
      <c r="C9" s="38" t="s">
        <v>19</v>
      </c>
      <c r="D9" s="39" t="s">
        <v>58</v>
      </c>
      <c r="E9" s="33">
        <v>22</v>
      </c>
      <c r="F9" s="54">
        <f>45.45*0.022</f>
        <v>0.99990000000000001</v>
      </c>
      <c r="G9" s="6">
        <v>47</v>
      </c>
      <c r="H9" s="6">
        <v>1.52</v>
      </c>
      <c r="I9" s="6">
        <v>0.16</v>
      </c>
      <c r="J9" s="7">
        <v>9.84</v>
      </c>
    </row>
    <row r="10" spans="1:10" ht="16.2" thickBot="1" x14ac:dyDescent="0.35">
      <c r="A10" s="103"/>
      <c r="B10" s="100"/>
      <c r="C10" s="50"/>
      <c r="D10" s="51"/>
      <c r="E10" s="52"/>
      <c r="F10" s="58">
        <f>SUM(F4:F9)</f>
        <v>58.519979999999997</v>
      </c>
      <c r="G10" s="53">
        <f>SUM(G4:G9)</f>
        <v>582.79999999999995</v>
      </c>
      <c r="H10" s="53">
        <f>SUM(H4:H9)</f>
        <v>12.654</v>
      </c>
      <c r="I10" s="53">
        <f>SUM(I4:I9)</f>
        <v>16.610000000000003</v>
      </c>
      <c r="J10" s="62">
        <f>SUM(J4:J9)</f>
        <v>94.455999999999989</v>
      </c>
    </row>
    <row r="11" spans="1:10" ht="15" customHeight="1" x14ac:dyDescent="0.3">
      <c r="A11" s="2" t="s">
        <v>22</v>
      </c>
      <c r="B11" s="79" t="s">
        <v>10</v>
      </c>
      <c r="C11" s="40">
        <v>54</v>
      </c>
      <c r="D11" s="41" t="s">
        <v>43</v>
      </c>
      <c r="E11" s="34">
        <v>200</v>
      </c>
      <c r="F11" s="57">
        <v>11.47</v>
      </c>
      <c r="G11" s="3">
        <v>138</v>
      </c>
      <c r="H11" s="3">
        <v>2.74</v>
      </c>
      <c r="I11" s="3">
        <v>3.23</v>
      </c>
      <c r="J11" s="4">
        <v>24.11</v>
      </c>
    </row>
    <row r="12" spans="1:10" ht="15.6" x14ac:dyDescent="0.3">
      <c r="A12" s="5"/>
      <c r="B12" s="80" t="s">
        <v>16</v>
      </c>
      <c r="C12" s="65" t="s">
        <v>19</v>
      </c>
      <c r="D12" s="39" t="s">
        <v>24</v>
      </c>
      <c r="E12" s="33">
        <v>20</v>
      </c>
      <c r="F12" s="54">
        <f>36.36*0.02</f>
        <v>0.72719999999999996</v>
      </c>
      <c r="G12" s="10">
        <v>70.5</v>
      </c>
      <c r="H12" s="10">
        <v>2.2799999999999998</v>
      </c>
      <c r="I12" s="10">
        <v>0.24</v>
      </c>
      <c r="J12" s="26">
        <v>14.76</v>
      </c>
    </row>
    <row r="13" spans="1:10" ht="28.8" x14ac:dyDescent="0.3">
      <c r="A13" s="5"/>
      <c r="B13" s="84" t="s">
        <v>21</v>
      </c>
      <c r="C13" s="65">
        <v>3</v>
      </c>
      <c r="D13" s="66" t="s">
        <v>32</v>
      </c>
      <c r="E13" s="33">
        <v>10</v>
      </c>
      <c r="F13" s="54">
        <f>10.8*10/10</f>
        <v>10.8</v>
      </c>
      <c r="G13" s="10">
        <v>65</v>
      </c>
      <c r="H13" s="10">
        <v>0.08</v>
      </c>
      <c r="I13" s="10">
        <v>7.15</v>
      </c>
      <c r="J13" s="26">
        <v>0.13</v>
      </c>
    </row>
    <row r="14" spans="1:10" ht="15.6" x14ac:dyDescent="0.3">
      <c r="A14" s="5"/>
      <c r="B14" s="84" t="s">
        <v>21</v>
      </c>
      <c r="C14" s="65">
        <v>6</v>
      </c>
      <c r="D14" s="66" t="s">
        <v>33</v>
      </c>
      <c r="E14" s="67">
        <v>10</v>
      </c>
      <c r="F14" s="68">
        <v>8.42</v>
      </c>
      <c r="G14" s="10">
        <v>35</v>
      </c>
      <c r="H14" s="10">
        <v>2.63</v>
      </c>
      <c r="I14" s="10">
        <v>2.66</v>
      </c>
      <c r="J14" s="26">
        <v>0</v>
      </c>
    </row>
    <row r="15" spans="1:10" ht="15.6" x14ac:dyDescent="0.3">
      <c r="A15" s="5"/>
      <c r="B15" s="84" t="s">
        <v>21</v>
      </c>
      <c r="C15" s="85" t="s">
        <v>19</v>
      </c>
      <c r="D15" s="86" t="s">
        <v>39</v>
      </c>
      <c r="E15" s="33">
        <v>124</v>
      </c>
      <c r="F15" s="54">
        <f>0.124*165</f>
        <v>20.46</v>
      </c>
      <c r="G15" s="89">
        <v>38</v>
      </c>
      <c r="H15" s="89">
        <v>0.8</v>
      </c>
      <c r="I15" s="89">
        <v>0.2</v>
      </c>
      <c r="J15" s="90">
        <v>7.5</v>
      </c>
    </row>
    <row r="16" spans="1:10" ht="16.2" thickBot="1" x14ac:dyDescent="0.35">
      <c r="A16" s="49"/>
      <c r="B16" s="81"/>
      <c r="C16" s="46"/>
      <c r="D16" s="47"/>
      <c r="E16" s="48"/>
      <c r="F16" s="59">
        <v>43.89</v>
      </c>
      <c r="G16" s="55">
        <f>SUM(G11:G15)</f>
        <v>346.5</v>
      </c>
      <c r="H16" s="55">
        <f>SUM(H11:H15)</f>
        <v>8.5299999999999994</v>
      </c>
      <c r="I16" s="55">
        <f>SUM(I11:I15)</f>
        <v>13.48</v>
      </c>
      <c r="J16" s="56">
        <f>SUM(J11:J15)</f>
        <v>46.5</v>
      </c>
    </row>
    <row r="17" spans="1:10" ht="28.8" x14ac:dyDescent="0.3">
      <c r="A17" s="2" t="s">
        <v>11</v>
      </c>
      <c r="B17" s="79" t="s">
        <v>12</v>
      </c>
      <c r="C17" s="40">
        <v>68</v>
      </c>
      <c r="D17" s="41" t="s">
        <v>44</v>
      </c>
      <c r="E17" s="32" t="s">
        <v>34</v>
      </c>
      <c r="F17" s="57">
        <f>6.53*60/60</f>
        <v>6.53</v>
      </c>
      <c r="G17" s="3">
        <v>81.349999999999994</v>
      </c>
      <c r="H17" s="3">
        <v>1.18</v>
      </c>
      <c r="I17" s="3">
        <v>5.32</v>
      </c>
      <c r="J17" s="4">
        <v>6.98</v>
      </c>
    </row>
    <row r="18" spans="1:10" ht="28.8" x14ac:dyDescent="0.3">
      <c r="A18" s="5"/>
      <c r="B18" s="82" t="s">
        <v>13</v>
      </c>
      <c r="C18" s="42">
        <v>5</v>
      </c>
      <c r="D18" s="43" t="s">
        <v>49</v>
      </c>
      <c r="E18" s="35" t="s">
        <v>53</v>
      </c>
      <c r="F18" s="54">
        <f>7.35*240/250+7.37</f>
        <v>14.426</v>
      </c>
      <c r="G18" s="6">
        <v>146</v>
      </c>
      <c r="H18" s="6">
        <v>5.26</v>
      </c>
      <c r="I18" s="6">
        <v>5.26</v>
      </c>
      <c r="J18" s="7">
        <v>21.24</v>
      </c>
    </row>
    <row r="19" spans="1:10" ht="15.6" x14ac:dyDescent="0.3">
      <c r="A19" s="5"/>
      <c r="B19" s="82" t="s">
        <v>14</v>
      </c>
      <c r="C19" s="42">
        <v>66</v>
      </c>
      <c r="D19" s="43" t="s">
        <v>46</v>
      </c>
      <c r="E19" s="35" t="s">
        <v>54</v>
      </c>
      <c r="F19" s="54">
        <f>22.12*40/30+31.89*200/210</f>
        <v>59.864761904761906</v>
      </c>
      <c r="G19" s="6">
        <v>278.83999999999997</v>
      </c>
      <c r="H19" s="6">
        <v>12.13</v>
      </c>
      <c r="I19" s="6">
        <v>13.65</v>
      </c>
      <c r="J19" s="7">
        <v>26.75</v>
      </c>
    </row>
    <row r="20" spans="1:10" ht="28.8" x14ac:dyDescent="0.3">
      <c r="A20" s="5"/>
      <c r="B20" s="82" t="s">
        <v>23</v>
      </c>
      <c r="C20" s="42">
        <v>17</v>
      </c>
      <c r="D20" s="43" t="s">
        <v>36</v>
      </c>
      <c r="E20" s="35" t="s">
        <v>31</v>
      </c>
      <c r="F20" s="54">
        <v>4.29</v>
      </c>
      <c r="G20" s="6">
        <v>80</v>
      </c>
      <c r="H20" s="6">
        <v>0.44</v>
      </c>
      <c r="I20" s="6">
        <v>0</v>
      </c>
      <c r="J20" s="7">
        <v>18.899999999999999</v>
      </c>
    </row>
    <row r="21" spans="1:10" ht="15.6" x14ac:dyDescent="0.3">
      <c r="A21" s="5"/>
      <c r="B21" s="82" t="s">
        <v>16</v>
      </c>
      <c r="C21" s="42" t="s">
        <v>19</v>
      </c>
      <c r="D21" s="43" t="s">
        <v>20</v>
      </c>
      <c r="E21" s="35" t="s">
        <v>62</v>
      </c>
      <c r="F21" s="54">
        <f>43.64*0.033</f>
        <v>1.4401200000000001</v>
      </c>
      <c r="G21" s="6">
        <f>63*30/30</f>
        <v>63</v>
      </c>
      <c r="H21" s="6">
        <f>1.47*30/30</f>
        <v>1.47</v>
      </c>
      <c r="I21" s="6">
        <f>0.3*30/30</f>
        <v>0.3</v>
      </c>
      <c r="J21" s="7">
        <f>13.44*30/30</f>
        <v>13.44</v>
      </c>
    </row>
    <row r="22" spans="1:10" ht="15.6" x14ac:dyDescent="0.3">
      <c r="A22" s="5"/>
      <c r="B22" s="83" t="s">
        <v>15</v>
      </c>
      <c r="C22" s="44" t="s">
        <v>19</v>
      </c>
      <c r="D22" s="45" t="s">
        <v>24</v>
      </c>
      <c r="E22" s="36" t="s">
        <v>63</v>
      </c>
      <c r="F22" s="60">
        <f>36.36*0.034</f>
        <v>1.23624</v>
      </c>
      <c r="G22" s="8">
        <f>70.5*31/30</f>
        <v>72.849999999999994</v>
      </c>
      <c r="H22" s="6">
        <f>1.52*31/20</f>
        <v>2.3559999999999999</v>
      </c>
      <c r="I22" s="8">
        <f>0.24*31/30</f>
        <v>0.24799999999999997</v>
      </c>
      <c r="J22" s="9">
        <f>14.76*31/30</f>
        <v>15.252000000000001</v>
      </c>
    </row>
    <row r="23" spans="1:10" ht="16.2" thickBot="1" x14ac:dyDescent="0.35">
      <c r="A23" s="76"/>
      <c r="B23" s="81"/>
      <c r="C23" s="29"/>
      <c r="D23" s="29"/>
      <c r="E23" s="37"/>
      <c r="F23" s="61">
        <f>SUM(F17:F22)</f>
        <v>87.787121904761904</v>
      </c>
      <c r="G23" s="30">
        <f>SUM(G17:G22)</f>
        <v>722.04</v>
      </c>
      <c r="H23" s="30">
        <f>SUM(H17:H22)</f>
        <v>22.835999999999999</v>
      </c>
      <c r="I23" s="30">
        <f>SUM(I17:I22)</f>
        <v>24.778000000000002</v>
      </c>
      <c r="J23" s="31">
        <f>SUM(J17:J22)</f>
        <v>102.562</v>
      </c>
    </row>
    <row r="24" spans="1:10" ht="16.2" thickBot="1" x14ac:dyDescent="0.35">
      <c r="A24" s="1" t="s">
        <v>27</v>
      </c>
      <c r="E24" s="77"/>
      <c r="F24" s="77"/>
    </row>
    <row r="25" spans="1:10" ht="29.4" thickBot="1" x14ac:dyDescent="0.35">
      <c r="A25" s="70" t="s">
        <v>1</v>
      </c>
      <c r="B25" s="71" t="s">
        <v>2</v>
      </c>
      <c r="C25" s="71" t="s">
        <v>17</v>
      </c>
      <c r="D25" s="71" t="s">
        <v>3</v>
      </c>
      <c r="E25" s="72" t="s">
        <v>18</v>
      </c>
      <c r="F25" s="72" t="s">
        <v>4</v>
      </c>
      <c r="G25" s="73" t="s">
        <v>5</v>
      </c>
      <c r="H25" s="71" t="s">
        <v>6</v>
      </c>
      <c r="I25" s="71" t="s">
        <v>7</v>
      </c>
      <c r="J25" s="74" t="s">
        <v>8</v>
      </c>
    </row>
    <row r="26" spans="1:10" ht="15.6" x14ac:dyDescent="0.3">
      <c r="A26" s="101" t="s">
        <v>9</v>
      </c>
      <c r="B26" s="97" t="s">
        <v>37</v>
      </c>
      <c r="C26" s="63">
        <v>50</v>
      </c>
      <c r="D26" s="64" t="s">
        <v>38</v>
      </c>
      <c r="E26" s="69" t="s">
        <v>55</v>
      </c>
      <c r="F26" s="68">
        <f>18.1*250/200</f>
        <v>22.625</v>
      </c>
      <c r="G26" s="10">
        <f>308*250/200</f>
        <v>385</v>
      </c>
      <c r="H26" s="10">
        <f>8.74*250/200</f>
        <v>10.925000000000001</v>
      </c>
      <c r="I26" s="10">
        <f>7.9*250/200</f>
        <v>9.875</v>
      </c>
      <c r="J26" s="26">
        <f>50.46*250/200</f>
        <v>63.075000000000003</v>
      </c>
    </row>
    <row r="27" spans="1:10" ht="15.6" x14ac:dyDescent="0.3">
      <c r="A27" s="102"/>
      <c r="B27" s="97" t="s">
        <v>21</v>
      </c>
      <c r="C27" s="63" t="s">
        <v>19</v>
      </c>
      <c r="D27" s="64" t="s">
        <v>39</v>
      </c>
      <c r="E27" s="35" t="s">
        <v>60</v>
      </c>
      <c r="F27" s="54">
        <f>0.137*165</f>
        <v>22.605</v>
      </c>
      <c r="G27" s="10">
        <v>47</v>
      </c>
      <c r="H27" s="10">
        <v>0.4</v>
      </c>
      <c r="I27" s="10">
        <v>0.4</v>
      </c>
      <c r="J27" s="26">
        <v>9.8000000000000007</v>
      </c>
    </row>
    <row r="28" spans="1:10" ht="15.6" x14ac:dyDescent="0.3">
      <c r="A28" s="102"/>
      <c r="B28" s="97" t="s">
        <v>21</v>
      </c>
      <c r="C28" s="63">
        <v>3</v>
      </c>
      <c r="D28" s="64" t="s">
        <v>40</v>
      </c>
      <c r="E28" s="35" t="s">
        <v>59</v>
      </c>
      <c r="F28" s="54">
        <f>10.8*15/10</f>
        <v>16.2</v>
      </c>
      <c r="G28" s="10">
        <f>65*13/10</f>
        <v>84.5</v>
      </c>
      <c r="H28" s="10">
        <f>0.08*13/10</f>
        <v>0.10400000000000001</v>
      </c>
      <c r="I28" s="10">
        <f>7.15*13/10</f>
        <v>9.2949999999999999</v>
      </c>
      <c r="J28" s="26">
        <f>0.13*13/10</f>
        <v>0.16899999999999998</v>
      </c>
    </row>
    <row r="29" spans="1:10" ht="15.6" x14ac:dyDescent="0.3">
      <c r="A29" s="102"/>
      <c r="B29" s="98" t="s">
        <v>10</v>
      </c>
      <c r="C29" s="38">
        <v>30</v>
      </c>
      <c r="D29" s="39" t="s">
        <v>42</v>
      </c>
      <c r="E29" s="33">
        <v>200</v>
      </c>
      <c r="F29" s="54">
        <v>3.58</v>
      </c>
      <c r="G29" s="6">
        <v>43</v>
      </c>
      <c r="H29" s="6">
        <v>0.06</v>
      </c>
      <c r="I29" s="6">
        <v>0.01</v>
      </c>
      <c r="J29" s="7">
        <v>10.220000000000001</v>
      </c>
    </row>
    <row r="30" spans="1:10" ht="15.6" x14ac:dyDescent="0.3">
      <c r="A30" s="102"/>
      <c r="B30" s="109" t="s">
        <v>15</v>
      </c>
      <c r="C30" s="38" t="s">
        <v>19</v>
      </c>
      <c r="D30" s="39" t="s">
        <v>20</v>
      </c>
      <c r="E30" s="33">
        <v>34</v>
      </c>
      <c r="F30" s="54">
        <v>1.45</v>
      </c>
      <c r="G30" s="6">
        <v>63</v>
      </c>
      <c r="H30" s="6">
        <v>1.47</v>
      </c>
      <c r="I30" s="6">
        <v>0.3</v>
      </c>
      <c r="J30" s="7">
        <v>13.44</v>
      </c>
    </row>
    <row r="31" spans="1:10" ht="15.6" x14ac:dyDescent="0.3">
      <c r="A31" s="102"/>
      <c r="B31" s="109" t="s">
        <v>16</v>
      </c>
      <c r="C31" s="38" t="s">
        <v>19</v>
      </c>
      <c r="D31" s="39" t="s">
        <v>58</v>
      </c>
      <c r="E31" s="33">
        <v>35</v>
      </c>
      <c r="F31" s="54">
        <f>45.45*0.035</f>
        <v>1.5907500000000003</v>
      </c>
      <c r="G31" s="6">
        <f>70.5*31/30</f>
        <v>72.849999999999994</v>
      </c>
      <c r="H31" s="6">
        <f>2.28*31/30</f>
        <v>2.3559999999999999</v>
      </c>
      <c r="I31" s="6">
        <f>0.24*31/30</f>
        <v>0.24799999999999997</v>
      </c>
      <c r="J31" s="7">
        <f>14.76*31/30</f>
        <v>15.252000000000001</v>
      </c>
    </row>
    <row r="32" spans="1:10" ht="16.2" thickBot="1" x14ac:dyDescent="0.35">
      <c r="A32" s="103"/>
      <c r="B32" s="100"/>
      <c r="C32" s="50"/>
      <c r="D32" s="51"/>
      <c r="E32" s="52"/>
      <c r="F32" s="58">
        <f>SUM(F26:F31)</f>
        <v>68.050750000000008</v>
      </c>
      <c r="G32" s="53">
        <f>SUM(G26:G31)</f>
        <v>695.35</v>
      </c>
      <c r="H32" s="53">
        <f>SUM(H26:H31)</f>
        <v>15.315000000000001</v>
      </c>
      <c r="I32" s="53">
        <f>SUM(I26:I31)</f>
        <v>20.128000000000004</v>
      </c>
      <c r="J32" s="62">
        <f>SUM(J26:J31)</f>
        <v>111.95599999999999</v>
      </c>
    </row>
    <row r="33" spans="1:10" ht="28.8" x14ac:dyDescent="0.3">
      <c r="A33" s="101" t="s">
        <v>22</v>
      </c>
      <c r="B33" s="108" t="s">
        <v>10</v>
      </c>
      <c r="C33" s="40">
        <v>54</v>
      </c>
      <c r="D33" s="41" t="s">
        <v>43</v>
      </c>
      <c r="E33" s="34">
        <v>200</v>
      </c>
      <c r="F33" s="57">
        <v>11.47</v>
      </c>
      <c r="G33" s="3">
        <v>138</v>
      </c>
      <c r="H33" s="3">
        <v>2.74</v>
      </c>
      <c r="I33" s="3">
        <v>3.23</v>
      </c>
      <c r="J33" s="4">
        <v>24.11</v>
      </c>
    </row>
    <row r="34" spans="1:10" ht="15.6" x14ac:dyDescent="0.3">
      <c r="A34" s="102"/>
      <c r="B34" s="114" t="s">
        <v>16</v>
      </c>
      <c r="C34" s="65" t="s">
        <v>19</v>
      </c>
      <c r="D34" s="39" t="s">
        <v>47</v>
      </c>
      <c r="E34" s="33">
        <v>30</v>
      </c>
      <c r="F34" s="54">
        <f>36.36*0.03</f>
        <v>1.0908</v>
      </c>
      <c r="G34" s="10">
        <v>70.5</v>
      </c>
      <c r="H34" s="10">
        <v>2.2799999999999998</v>
      </c>
      <c r="I34" s="10">
        <v>0.24</v>
      </c>
      <c r="J34" s="26">
        <v>14.76</v>
      </c>
    </row>
    <row r="35" spans="1:10" ht="30" customHeight="1" x14ac:dyDescent="0.3">
      <c r="A35" s="102"/>
      <c r="B35" s="99" t="s">
        <v>21</v>
      </c>
      <c r="C35" s="65">
        <v>3</v>
      </c>
      <c r="D35" s="66" t="s">
        <v>32</v>
      </c>
      <c r="E35" s="67">
        <v>10</v>
      </c>
      <c r="F35" s="68">
        <v>10.8</v>
      </c>
      <c r="G35" s="10">
        <v>78</v>
      </c>
      <c r="H35" s="10">
        <v>0.1</v>
      </c>
      <c r="I35" s="10">
        <v>8.59</v>
      </c>
      <c r="J35" s="26">
        <v>0.15</v>
      </c>
    </row>
    <row r="36" spans="1:10" ht="18.600000000000001" customHeight="1" x14ac:dyDescent="0.3">
      <c r="A36" s="102"/>
      <c r="B36" s="99" t="s">
        <v>21</v>
      </c>
      <c r="C36" s="65">
        <v>6</v>
      </c>
      <c r="D36" s="66" t="s">
        <v>33</v>
      </c>
      <c r="E36" s="67">
        <v>10</v>
      </c>
      <c r="F36" s="68">
        <f>8.42*10/10</f>
        <v>8.42</v>
      </c>
      <c r="G36" s="10">
        <v>42</v>
      </c>
      <c r="H36" s="10">
        <v>3.19</v>
      </c>
      <c r="I36" s="10">
        <v>3.19</v>
      </c>
      <c r="J36" s="26">
        <v>0</v>
      </c>
    </row>
    <row r="37" spans="1:10" ht="18.600000000000001" customHeight="1" x14ac:dyDescent="0.3">
      <c r="A37" s="102"/>
      <c r="B37" s="99" t="s">
        <v>21</v>
      </c>
      <c r="C37" s="85" t="s">
        <v>19</v>
      </c>
      <c r="D37" s="86" t="s">
        <v>39</v>
      </c>
      <c r="E37" s="87">
        <v>137</v>
      </c>
      <c r="F37" s="54">
        <f>0.137*165</f>
        <v>22.605</v>
      </c>
      <c r="G37" s="89">
        <v>38</v>
      </c>
      <c r="H37" s="89">
        <v>0.8</v>
      </c>
      <c r="I37" s="89">
        <v>0.2</v>
      </c>
      <c r="J37" s="90">
        <v>7.5</v>
      </c>
    </row>
    <row r="38" spans="1:10" ht="16.2" thickBot="1" x14ac:dyDescent="0.35">
      <c r="A38" s="103"/>
      <c r="B38" s="115"/>
      <c r="C38" s="46"/>
      <c r="D38" s="47"/>
      <c r="E38" s="48"/>
      <c r="F38" s="59">
        <v>51.03</v>
      </c>
      <c r="G38" s="55">
        <f>SUM(G33:G36)</f>
        <v>328.5</v>
      </c>
      <c r="H38" s="55">
        <f>SUM(H33:H36)</f>
        <v>8.3099999999999987</v>
      </c>
      <c r="I38" s="55">
        <f>SUM(I33:I36)</f>
        <v>15.249999999999998</v>
      </c>
      <c r="J38" s="56">
        <f>SUM(J33:J36)</f>
        <v>39.019999999999996</v>
      </c>
    </row>
    <row r="39" spans="1:10" ht="28.8" x14ac:dyDescent="0.3">
      <c r="A39" s="2" t="s">
        <v>11</v>
      </c>
      <c r="B39" s="79" t="s">
        <v>12</v>
      </c>
      <c r="C39" s="40">
        <v>68</v>
      </c>
      <c r="D39" s="41" t="s">
        <v>44</v>
      </c>
      <c r="E39" s="32" t="s">
        <v>48</v>
      </c>
      <c r="F39" s="57">
        <f>10.8*100/100</f>
        <v>10.8</v>
      </c>
      <c r="G39" s="3">
        <v>135.59</v>
      </c>
      <c r="H39" s="3">
        <v>1.97</v>
      </c>
      <c r="I39" s="3">
        <v>8.8699999999999992</v>
      </c>
      <c r="J39" s="4">
        <v>11.63</v>
      </c>
    </row>
    <row r="40" spans="1:10" ht="28.8" x14ac:dyDescent="0.3">
      <c r="A40" s="5"/>
      <c r="B40" s="82" t="s">
        <v>13</v>
      </c>
      <c r="C40" s="42">
        <v>5</v>
      </c>
      <c r="D40" s="43" t="s">
        <v>45</v>
      </c>
      <c r="E40" s="35" t="s">
        <v>50</v>
      </c>
      <c r="F40" s="54">
        <f>7.35*230/250+7.37*2</f>
        <v>21.501999999999999</v>
      </c>
      <c r="G40" s="6">
        <v>146</v>
      </c>
      <c r="H40" s="6">
        <v>5.26</v>
      </c>
      <c r="I40" s="6">
        <v>5.26</v>
      </c>
      <c r="J40" s="7">
        <v>21.24</v>
      </c>
    </row>
    <row r="41" spans="1:10" ht="15.6" x14ac:dyDescent="0.3">
      <c r="A41" s="5"/>
      <c r="B41" s="82" t="s">
        <v>14</v>
      </c>
      <c r="C41" s="42">
        <v>66</v>
      </c>
      <c r="D41" s="43" t="s">
        <v>46</v>
      </c>
      <c r="E41" s="35" t="s">
        <v>51</v>
      </c>
      <c r="F41" s="54">
        <f>25.81*35/35+37.89*245/245</f>
        <v>63.7</v>
      </c>
      <c r="G41" s="6">
        <v>325.31</v>
      </c>
      <c r="H41" s="6">
        <v>14.15</v>
      </c>
      <c r="I41" s="6">
        <v>15.93</v>
      </c>
      <c r="J41" s="7">
        <v>31.21</v>
      </c>
    </row>
    <row r="42" spans="1:10" ht="28.8" x14ac:dyDescent="0.3">
      <c r="A42" s="5"/>
      <c r="B42" s="82" t="s">
        <v>23</v>
      </c>
      <c r="C42" s="42">
        <v>17</v>
      </c>
      <c r="D42" s="43" t="s">
        <v>36</v>
      </c>
      <c r="E42" s="35" t="s">
        <v>31</v>
      </c>
      <c r="F42" s="54">
        <v>4.29</v>
      </c>
      <c r="G42" s="6">
        <v>80</v>
      </c>
      <c r="H42" s="6">
        <v>0.44</v>
      </c>
      <c r="I42" s="6">
        <v>0</v>
      </c>
      <c r="J42" s="7">
        <v>18.899999999999999</v>
      </c>
    </row>
    <row r="43" spans="1:10" ht="15.6" x14ac:dyDescent="0.3">
      <c r="A43" s="5"/>
      <c r="B43" s="82" t="s">
        <v>16</v>
      </c>
      <c r="C43" s="42" t="s">
        <v>19</v>
      </c>
      <c r="D43" s="43" t="s">
        <v>20</v>
      </c>
      <c r="E43" s="35" t="s">
        <v>61</v>
      </c>
      <c r="F43" s="54">
        <f>43.64*0.04</f>
        <v>1.7456</v>
      </c>
      <c r="G43" s="6">
        <f>84*42/40</f>
        <v>88.2</v>
      </c>
      <c r="H43" s="6">
        <f>1.96*42/40</f>
        <v>2.0579999999999998</v>
      </c>
      <c r="I43" s="6">
        <f>0.4*42/40</f>
        <v>0.42000000000000004</v>
      </c>
      <c r="J43" s="7">
        <f>17.92*42/40</f>
        <v>18.816000000000003</v>
      </c>
    </row>
    <row r="44" spans="1:10" ht="15.6" x14ac:dyDescent="0.3">
      <c r="A44" s="5"/>
      <c r="B44" s="83" t="s">
        <v>15</v>
      </c>
      <c r="C44" s="44" t="s">
        <v>19</v>
      </c>
      <c r="D44" s="45" t="s">
        <v>24</v>
      </c>
      <c r="E44" s="36" t="s">
        <v>61</v>
      </c>
      <c r="F44" s="60">
        <f>36.36*0.04</f>
        <v>1.4543999999999999</v>
      </c>
      <c r="G44" s="8">
        <f>94*42/40</f>
        <v>98.7</v>
      </c>
      <c r="H44" s="8">
        <f>3.04*42/40</f>
        <v>3.1920000000000002</v>
      </c>
      <c r="I44" s="8">
        <f>0.32*42/40</f>
        <v>0.33599999999999997</v>
      </c>
      <c r="J44" s="9">
        <f>19.68*42/40</f>
        <v>20.663999999999998</v>
      </c>
    </row>
    <row r="45" spans="1:10" ht="16.2" thickBot="1" x14ac:dyDescent="0.35">
      <c r="A45" s="27"/>
      <c r="B45" s="28"/>
      <c r="C45" s="29"/>
      <c r="D45" s="29"/>
      <c r="E45" s="37"/>
      <c r="F45" s="61">
        <v>102.06</v>
      </c>
      <c r="G45" s="30">
        <f>SUM(G39:G44)</f>
        <v>873.80000000000018</v>
      </c>
      <c r="H45" s="30">
        <f>SUM(H39:H44)</f>
        <v>27.07</v>
      </c>
      <c r="I45" s="30">
        <f>SUM(I39:I44)</f>
        <v>30.815999999999999</v>
      </c>
      <c r="J45" s="31">
        <f>SUM(J39:J44)</f>
        <v>122.46</v>
      </c>
    </row>
    <row r="47" spans="1:10" x14ac:dyDescent="0.3">
      <c r="A47" s="15" t="s">
        <v>28</v>
      </c>
    </row>
    <row r="49" spans="1:1" x14ac:dyDescent="0.3">
      <c r="A49" s="15" t="s">
        <v>29</v>
      </c>
    </row>
    <row r="51" spans="1:1" x14ac:dyDescent="0.3">
      <c r="A51" s="5"/>
    </row>
  </sheetData>
  <mergeCells count="1">
    <mergeCell ref="B1:D1"/>
  </mergeCells>
  <pageMargins left="0.23622047244094491" right="0.23622047244094491" top="0.15748031496062992" bottom="0.15748031496062992" header="0.11811023622047245" footer="0.11811023622047245"/>
  <pageSetup paperSize="9" scale="84" orientation="portrait" r:id="rId1"/>
  <ignoredErrors>
    <ignoredError sqref="J10 G10:I10 G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zoomScale="115" zoomScaleNormal="115" workbookViewId="0">
      <selection activeCell="B1" sqref="B1:D1"/>
    </sheetView>
  </sheetViews>
  <sheetFormatPr defaultRowHeight="14.4" x14ac:dyDescent="0.3"/>
  <cols>
    <col min="1" max="1" width="11.77734375" style="16" bestFit="1" customWidth="1"/>
    <col min="2" max="2" width="10" style="16" customWidth="1"/>
    <col min="3" max="3" width="5.5546875" style="16" customWidth="1"/>
    <col min="4" max="4" width="24.88671875" style="16" customWidth="1"/>
    <col min="5" max="5" width="10.21875" style="17" customWidth="1"/>
    <col min="6" max="6" width="7.109375" style="17" bestFit="1" customWidth="1"/>
    <col min="7" max="7" width="7.6640625" style="16" customWidth="1"/>
    <col min="8" max="8" width="6.6640625" style="16" bestFit="1" customWidth="1"/>
    <col min="9" max="9" width="6.5546875" style="16" customWidth="1"/>
    <col min="10" max="10" width="8.5546875" style="16" customWidth="1"/>
    <col min="11" max="16384" width="8.88671875" style="16"/>
  </cols>
  <sheetData>
    <row r="1" spans="1:10" ht="28.8" customHeight="1" x14ac:dyDescent="0.3">
      <c r="A1" s="16" t="s">
        <v>0</v>
      </c>
      <c r="B1" s="128" t="s">
        <v>65</v>
      </c>
      <c r="C1" s="129"/>
      <c r="D1" s="130"/>
      <c r="E1" s="17" t="s">
        <v>26</v>
      </c>
      <c r="F1" s="18"/>
      <c r="H1" s="16" t="s">
        <v>64</v>
      </c>
      <c r="I1" s="19" t="s">
        <v>35</v>
      </c>
    </row>
    <row r="2" spans="1:10" ht="15" thickBot="1" x14ac:dyDescent="0.35">
      <c r="B2" s="20" t="s">
        <v>30</v>
      </c>
    </row>
    <row r="3" spans="1:10" s="21" customFormat="1" ht="29.4" thickBot="1" x14ac:dyDescent="0.35">
      <c r="A3" s="91" t="s">
        <v>1</v>
      </c>
      <c r="B3" s="92" t="s">
        <v>2</v>
      </c>
      <c r="C3" s="93" t="s">
        <v>17</v>
      </c>
      <c r="D3" s="93" t="s">
        <v>3</v>
      </c>
      <c r="E3" s="94" t="s">
        <v>18</v>
      </c>
      <c r="F3" s="94" t="s">
        <v>4</v>
      </c>
      <c r="G3" s="95" t="s">
        <v>5</v>
      </c>
      <c r="H3" s="93" t="s">
        <v>6</v>
      </c>
      <c r="I3" s="93" t="s">
        <v>7</v>
      </c>
      <c r="J3" s="96" t="s">
        <v>8</v>
      </c>
    </row>
    <row r="4" spans="1:10" ht="15.6" x14ac:dyDescent="0.3">
      <c r="A4" s="101" t="s">
        <v>9</v>
      </c>
      <c r="B4" s="78" t="s">
        <v>37</v>
      </c>
      <c r="C4" s="63">
        <v>50</v>
      </c>
      <c r="D4" s="64" t="s">
        <v>38</v>
      </c>
      <c r="E4" s="69" t="s">
        <v>57</v>
      </c>
      <c r="F4" s="68">
        <f>24.07*240/200</f>
        <v>28.884</v>
      </c>
      <c r="G4" s="10">
        <v>308</v>
      </c>
      <c r="H4" s="10">
        <v>8.74</v>
      </c>
      <c r="I4" s="10">
        <v>7.9</v>
      </c>
      <c r="J4" s="26">
        <v>50.46</v>
      </c>
    </row>
    <row r="5" spans="1:10" ht="15.6" x14ac:dyDescent="0.3">
      <c r="A5" s="102"/>
      <c r="B5" s="97" t="s">
        <v>21</v>
      </c>
      <c r="C5" s="63" t="s">
        <v>19</v>
      </c>
      <c r="D5" s="64" t="s">
        <v>39</v>
      </c>
      <c r="E5" s="35" t="s">
        <v>56</v>
      </c>
      <c r="F5" s="54">
        <f>0.124*165*1.33</f>
        <v>27.211800000000004</v>
      </c>
      <c r="G5" s="10">
        <v>47</v>
      </c>
      <c r="H5" s="10">
        <v>0.4</v>
      </c>
      <c r="I5" s="10">
        <v>0.4</v>
      </c>
      <c r="J5" s="26">
        <v>9.8000000000000007</v>
      </c>
    </row>
    <row r="6" spans="1:10" ht="15.6" x14ac:dyDescent="0.3">
      <c r="A6" s="102"/>
      <c r="B6" s="97" t="s">
        <v>21</v>
      </c>
      <c r="C6" s="63">
        <v>3</v>
      </c>
      <c r="D6" s="64" t="s">
        <v>40</v>
      </c>
      <c r="E6" s="35" t="s">
        <v>41</v>
      </c>
      <c r="F6" s="54">
        <f>10.8*1.33</f>
        <v>14.364000000000003</v>
      </c>
      <c r="G6" s="10">
        <v>65</v>
      </c>
      <c r="H6" s="10">
        <v>0.08</v>
      </c>
      <c r="I6" s="10">
        <v>7.15</v>
      </c>
      <c r="J6" s="26">
        <v>0.13</v>
      </c>
    </row>
    <row r="7" spans="1:10" ht="15.6" x14ac:dyDescent="0.3">
      <c r="A7" s="102"/>
      <c r="B7" s="98" t="s">
        <v>10</v>
      </c>
      <c r="C7" s="38">
        <v>30</v>
      </c>
      <c r="D7" s="39" t="s">
        <v>42</v>
      </c>
      <c r="E7" s="33">
        <v>200</v>
      </c>
      <c r="F7" s="54">
        <v>4.76</v>
      </c>
      <c r="G7" s="6">
        <v>43</v>
      </c>
      <c r="H7" s="6">
        <v>0.06</v>
      </c>
      <c r="I7" s="6">
        <v>0.01</v>
      </c>
      <c r="J7" s="7">
        <v>10.220000000000001</v>
      </c>
    </row>
    <row r="8" spans="1:10" ht="15.6" x14ac:dyDescent="0.3">
      <c r="A8" s="102"/>
      <c r="B8" s="82" t="s">
        <v>15</v>
      </c>
      <c r="C8" s="38" t="s">
        <v>19</v>
      </c>
      <c r="D8" s="39" t="s">
        <v>20</v>
      </c>
      <c r="E8" s="33">
        <v>29</v>
      </c>
      <c r="F8" s="54">
        <f>43.64*1.2*0.029</f>
        <v>1.5186720000000002</v>
      </c>
      <c r="G8" s="6">
        <v>42</v>
      </c>
      <c r="H8" s="6">
        <v>0.98</v>
      </c>
      <c r="I8" s="6">
        <v>0.2</v>
      </c>
      <c r="J8" s="7">
        <v>8.9600000000000009</v>
      </c>
    </row>
    <row r="9" spans="1:10" ht="15.6" x14ac:dyDescent="0.3">
      <c r="A9" s="102"/>
      <c r="B9" s="82" t="s">
        <v>16</v>
      </c>
      <c r="C9" s="38" t="s">
        <v>19</v>
      </c>
      <c r="D9" s="39" t="s">
        <v>24</v>
      </c>
      <c r="E9" s="33">
        <v>29</v>
      </c>
      <c r="F9" s="54">
        <f>36.36*1.2*0.029</f>
        <v>1.265328</v>
      </c>
      <c r="G9" s="6">
        <v>47</v>
      </c>
      <c r="H9" s="6">
        <v>1.52</v>
      </c>
      <c r="I9" s="6">
        <v>0.16</v>
      </c>
      <c r="J9" s="7">
        <v>9.84</v>
      </c>
    </row>
    <row r="10" spans="1:10" ht="16.2" thickBot="1" x14ac:dyDescent="0.35">
      <c r="A10" s="102"/>
      <c r="B10" s="104"/>
      <c r="C10" s="85"/>
      <c r="D10" s="86"/>
      <c r="E10" s="87"/>
      <c r="F10" s="88">
        <f>SUM(F4:F9)</f>
        <v>78.003799999999998</v>
      </c>
      <c r="G10" s="89">
        <f>SUM(G4:G9)</f>
        <v>552</v>
      </c>
      <c r="H10" s="89">
        <f>SUM(H4:H9)</f>
        <v>11.780000000000001</v>
      </c>
      <c r="I10" s="89">
        <f>SUM(I4:I9)</f>
        <v>15.82</v>
      </c>
      <c r="J10" s="90">
        <f>SUM(J4:J9)</f>
        <v>89.410000000000025</v>
      </c>
    </row>
    <row r="11" spans="1:10" ht="15.6" x14ac:dyDescent="0.3">
      <c r="A11" s="110"/>
      <c r="B11" s="108" t="s">
        <v>14</v>
      </c>
      <c r="C11" s="40">
        <v>66</v>
      </c>
      <c r="D11" s="41" t="s">
        <v>46</v>
      </c>
      <c r="E11" s="32" t="s">
        <v>51</v>
      </c>
      <c r="F11" s="57">
        <f>34.33*35/35+50.39*245/245</f>
        <v>84.72</v>
      </c>
      <c r="G11" s="3">
        <v>278.83999999999997</v>
      </c>
      <c r="H11" s="3">
        <v>12.13</v>
      </c>
      <c r="I11" s="3">
        <v>13.65</v>
      </c>
      <c r="J11" s="4">
        <v>26.75</v>
      </c>
    </row>
    <row r="12" spans="1:10" ht="15.6" x14ac:dyDescent="0.3">
      <c r="A12" s="111"/>
      <c r="B12" s="118" t="s">
        <v>21</v>
      </c>
      <c r="C12" s="38" t="s">
        <v>19</v>
      </c>
      <c r="D12" s="39" t="s">
        <v>52</v>
      </c>
      <c r="E12" s="33">
        <v>20</v>
      </c>
      <c r="F12" s="54">
        <f>313.92*0.02*1.22</f>
        <v>7.6596480000000007</v>
      </c>
      <c r="G12" s="6">
        <v>96</v>
      </c>
      <c r="H12" s="6">
        <v>3.04</v>
      </c>
      <c r="I12" s="6">
        <v>0.32</v>
      </c>
      <c r="J12" s="7">
        <v>19.440000000000001</v>
      </c>
    </row>
    <row r="13" spans="1:10" ht="28.2" customHeight="1" x14ac:dyDescent="0.3">
      <c r="A13" s="111"/>
      <c r="B13" s="82" t="s">
        <v>23</v>
      </c>
      <c r="C13" s="42">
        <v>17</v>
      </c>
      <c r="D13" s="43" t="s">
        <v>36</v>
      </c>
      <c r="E13" s="35" t="s">
        <v>31</v>
      </c>
      <c r="F13" s="54">
        <v>5.71</v>
      </c>
      <c r="G13" s="6">
        <v>80</v>
      </c>
      <c r="H13" s="6">
        <v>0.44</v>
      </c>
      <c r="I13" s="6">
        <v>0</v>
      </c>
      <c r="J13" s="7">
        <v>18.899999999999999</v>
      </c>
    </row>
    <row r="14" spans="1:10" ht="15.6" x14ac:dyDescent="0.3">
      <c r="A14" s="111"/>
      <c r="B14" s="82" t="s">
        <v>15</v>
      </c>
      <c r="C14" s="38" t="s">
        <v>19</v>
      </c>
      <c r="D14" s="39" t="s">
        <v>20</v>
      </c>
      <c r="E14" s="33">
        <v>20</v>
      </c>
      <c r="F14" s="54">
        <v>1.04</v>
      </c>
      <c r="G14" s="6">
        <f>63*34/30</f>
        <v>71.400000000000006</v>
      </c>
      <c r="H14" s="6">
        <f>1.47*34/30</f>
        <v>1.6659999999999999</v>
      </c>
      <c r="I14" s="6">
        <f>0.3*34/30</f>
        <v>0.33999999999999997</v>
      </c>
      <c r="J14" s="7">
        <f>13.44*34/30</f>
        <v>15.231999999999999</v>
      </c>
    </row>
    <row r="15" spans="1:10" ht="16.2" thickBot="1" x14ac:dyDescent="0.35">
      <c r="A15" s="112"/>
      <c r="B15" s="82" t="s">
        <v>16</v>
      </c>
      <c r="C15" s="38" t="s">
        <v>19</v>
      </c>
      <c r="D15" s="39" t="s">
        <v>24</v>
      </c>
      <c r="E15" s="33">
        <v>20</v>
      </c>
      <c r="F15" s="54">
        <f>36.36*1.2*0.02</f>
        <v>0.87263999999999997</v>
      </c>
      <c r="G15" s="8">
        <f>70.5*34/30</f>
        <v>79.900000000000006</v>
      </c>
      <c r="H15" s="8">
        <f>2.28*31/30</f>
        <v>2.3559999999999999</v>
      </c>
      <c r="I15" s="8">
        <f>0.24*34/30</f>
        <v>0.27200000000000002</v>
      </c>
      <c r="J15" s="9">
        <f>14.76*34/30</f>
        <v>16.727999999999998</v>
      </c>
    </row>
    <row r="16" spans="1:10" ht="16.2" thickBot="1" x14ac:dyDescent="0.35">
      <c r="A16" s="112"/>
      <c r="B16" s="113"/>
      <c r="C16" s="22"/>
      <c r="D16" s="22"/>
      <c r="E16" s="116"/>
      <c r="F16" s="117">
        <f>SUM(F11:F15)</f>
        <v>100.00228800000001</v>
      </c>
      <c r="G16" s="24">
        <f>SUM(G11:G15)</f>
        <v>606.14</v>
      </c>
      <c r="H16" s="24">
        <f>SUM(H11:H15)</f>
        <v>19.631999999999998</v>
      </c>
      <c r="I16" s="24">
        <f>SUM(I11:I15)</f>
        <v>14.582000000000001</v>
      </c>
      <c r="J16" s="25">
        <f>SUM(J11:J15)</f>
        <v>97.05</v>
      </c>
    </row>
    <row r="17" spans="1:10" ht="29.4" thickBot="1" x14ac:dyDescent="0.35">
      <c r="A17" s="120"/>
      <c r="B17" s="122" t="s">
        <v>13</v>
      </c>
      <c r="C17" s="123">
        <v>5</v>
      </c>
      <c r="D17" s="124" t="s">
        <v>45</v>
      </c>
      <c r="E17" s="106" t="s">
        <v>50</v>
      </c>
      <c r="F17" s="107">
        <f>9.78*230/250+7.37*2</f>
        <v>23.7376</v>
      </c>
      <c r="G17" s="125">
        <v>146</v>
      </c>
      <c r="H17" s="125">
        <v>5.26</v>
      </c>
      <c r="I17" s="125">
        <v>5.26</v>
      </c>
      <c r="J17" s="126">
        <v>21.24</v>
      </c>
    </row>
    <row r="18" spans="1:10" ht="15.6" x14ac:dyDescent="0.3">
      <c r="A18" s="119"/>
      <c r="B18" s="82" t="s">
        <v>14</v>
      </c>
      <c r="C18" s="42">
        <v>66</v>
      </c>
      <c r="D18" s="43" t="s">
        <v>46</v>
      </c>
      <c r="E18" s="35" t="s">
        <v>51</v>
      </c>
      <c r="F18" s="57">
        <f>34.33*35/35+50.39*245/245</f>
        <v>84.72</v>
      </c>
      <c r="G18" s="6">
        <v>278.83999999999997</v>
      </c>
      <c r="H18" s="6">
        <v>12.13</v>
      </c>
      <c r="I18" s="6">
        <v>13.65</v>
      </c>
      <c r="J18" s="7">
        <v>26.75</v>
      </c>
    </row>
    <row r="19" spans="1:10" ht="15" customHeight="1" x14ac:dyDescent="0.3">
      <c r="A19" s="119"/>
      <c r="B19" s="84" t="s">
        <v>21</v>
      </c>
      <c r="C19" s="38" t="s">
        <v>19</v>
      </c>
      <c r="D19" s="39" t="s">
        <v>52</v>
      </c>
      <c r="E19" s="33">
        <v>20</v>
      </c>
      <c r="F19" s="54">
        <f>313.92*0.02*1.22</f>
        <v>7.6596480000000007</v>
      </c>
      <c r="G19" s="6">
        <v>96</v>
      </c>
      <c r="H19" s="6">
        <v>3.04</v>
      </c>
      <c r="I19" s="6">
        <v>0.32</v>
      </c>
      <c r="J19" s="7">
        <v>19.440000000000001</v>
      </c>
    </row>
    <row r="20" spans="1:10" ht="28.8" x14ac:dyDescent="0.3">
      <c r="A20" s="119"/>
      <c r="B20" s="82" t="s">
        <v>23</v>
      </c>
      <c r="C20" s="42">
        <v>17</v>
      </c>
      <c r="D20" s="43" t="s">
        <v>36</v>
      </c>
      <c r="E20" s="35" t="s">
        <v>31</v>
      </c>
      <c r="F20" s="54">
        <v>5.71</v>
      </c>
      <c r="G20" s="6">
        <v>80</v>
      </c>
      <c r="H20" s="6">
        <v>0.44</v>
      </c>
      <c r="I20" s="6">
        <v>0</v>
      </c>
      <c r="J20" s="7">
        <v>18.899999999999999</v>
      </c>
    </row>
    <row r="21" spans="1:10" ht="15.6" x14ac:dyDescent="0.3">
      <c r="A21" s="119"/>
      <c r="B21" s="82" t="s">
        <v>15</v>
      </c>
      <c r="C21" s="38" t="s">
        <v>19</v>
      </c>
      <c r="D21" s="39" t="s">
        <v>20</v>
      </c>
      <c r="E21" s="33">
        <v>33</v>
      </c>
      <c r="F21" s="54">
        <f>43.64*1.2*0.033</f>
        <v>1.7281440000000001</v>
      </c>
      <c r="G21" s="6">
        <f>63*45/30</f>
        <v>94.5</v>
      </c>
      <c r="H21" s="6">
        <f>1.47*45/30</f>
        <v>2.2050000000000001</v>
      </c>
      <c r="I21" s="6">
        <f>0.3*45/30</f>
        <v>0.45</v>
      </c>
      <c r="J21" s="7">
        <f>13.44*45/30</f>
        <v>20.16</v>
      </c>
    </row>
    <row r="22" spans="1:10" ht="15.6" x14ac:dyDescent="0.3">
      <c r="A22" s="119"/>
      <c r="B22" s="82" t="s">
        <v>16</v>
      </c>
      <c r="C22" s="38" t="s">
        <v>19</v>
      </c>
      <c r="D22" s="39" t="s">
        <v>24</v>
      </c>
      <c r="E22" s="33">
        <v>33</v>
      </c>
      <c r="F22" s="54">
        <f>36.36*1.2*0.033</f>
        <v>1.439856</v>
      </c>
      <c r="G22" s="8">
        <f>70.5*45/30</f>
        <v>105.75</v>
      </c>
      <c r="H22" s="8">
        <f>2.28*45/30</f>
        <v>3.42</v>
      </c>
      <c r="I22" s="8">
        <f>0.24*45/30</f>
        <v>0.36</v>
      </c>
      <c r="J22" s="9">
        <f>14.76*45/30</f>
        <v>22.14</v>
      </c>
    </row>
    <row r="23" spans="1:10" ht="16.2" thickBot="1" x14ac:dyDescent="0.35">
      <c r="A23" s="121"/>
      <c r="B23" s="127"/>
      <c r="C23" s="22"/>
      <c r="D23" s="22"/>
      <c r="E23" s="23"/>
      <c r="F23" s="105">
        <f>SUM(F17:F22)</f>
        <v>124.995248</v>
      </c>
      <c r="G23" s="24">
        <f>SUM(G17:G22)</f>
        <v>801.08999999999992</v>
      </c>
      <c r="H23" s="24">
        <f>SUM(H17:H22)</f>
        <v>26.495000000000005</v>
      </c>
      <c r="I23" s="24">
        <f>SUM(I17:I22)</f>
        <v>20.04</v>
      </c>
      <c r="J23" s="25">
        <f>SUM(J17:J22)</f>
        <v>128.63</v>
      </c>
    </row>
    <row r="24" spans="1:10" customFormat="1" x14ac:dyDescent="0.3">
      <c r="E24" s="13"/>
      <c r="F24" s="13"/>
    </row>
    <row r="25" spans="1:10" customFormat="1" x14ac:dyDescent="0.3">
      <c r="A25" s="15" t="s">
        <v>28</v>
      </c>
      <c r="E25" s="13"/>
      <c r="F25" s="13"/>
    </row>
    <row r="26" spans="1:10" customFormat="1" x14ac:dyDescent="0.3">
      <c r="E26" s="13"/>
      <c r="F26" s="13"/>
    </row>
    <row r="27" spans="1:10" customFormat="1" x14ac:dyDescent="0.3">
      <c r="A27" s="15" t="s">
        <v>29</v>
      </c>
      <c r="E27" s="13"/>
      <c r="F27" s="13"/>
    </row>
    <row r="28" spans="1:10" customFormat="1" x14ac:dyDescent="0.3">
      <c r="E28" s="13"/>
      <c r="F28" s="13"/>
    </row>
  </sheetData>
  <mergeCells count="1">
    <mergeCell ref="B1:D1"/>
  </mergeCells>
  <pageMargins left="0.11811023622047245" right="0.11811023622047245" top="0.15748031496062992" bottom="0.15748031496062992" header="0.11811023622047245" footer="0.11811023622047245"/>
  <pageSetup paperSize="9" orientation="portrait" r:id="rId1"/>
  <ignoredErrors>
    <ignoredError sqref="F10 G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бесплатно</vt:lpstr>
      <vt:lpstr>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Киреев</cp:lastModifiedBy>
  <cp:lastPrinted>2023-10-10T06:10:23Z</cp:lastPrinted>
  <dcterms:created xsi:type="dcterms:W3CDTF">2015-06-05T18:19:34Z</dcterms:created>
  <dcterms:modified xsi:type="dcterms:W3CDTF">2023-10-10T06:20:48Z</dcterms:modified>
</cp:coreProperties>
</file>